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dropbox\Dropbox\취미\2014학년도\포만한계산기\"/>
    </mc:Choice>
  </mc:AlternateContent>
  <bookViews>
    <workbookView xWindow="0" yWindow="0" windowWidth="15825" windowHeight="6240" tabRatio="786"/>
  </bookViews>
  <sheets>
    <sheet name="표지" sheetId="12" r:id="rId1"/>
    <sheet name="점수입력" sheetId="16" r:id="rId2"/>
    <sheet name="칼레이과" sheetId="24" r:id="rId3"/>
    <sheet name="청솔이과" sheetId="25" r:id="rId4"/>
    <sheet name="계산" sheetId="1" r:id="rId5"/>
    <sheet name="칼레누적" sheetId="6" r:id="rId6"/>
    <sheet name="청솔누적" sheetId="22" r:id="rId7"/>
    <sheet name="칼레이도스코프" sheetId="8" state="hidden" r:id="rId8"/>
    <sheet name="청솔누적표" sheetId="23" state="hidden" r:id="rId9"/>
    <sheet name="탐구계산sheet" sheetId="10" state="hidden" r:id="rId10"/>
    <sheet name="Sheet4" sheetId="7" state="hidden" r:id="rId11"/>
    <sheet name="Sheet1" sheetId="4" state="hidden" r:id="rId12"/>
    <sheet name="Sheet2" sheetId="5" state="hidden" r:id="rId13"/>
    <sheet name="임시변표" sheetId="2" state="hidden" r:id="rId14"/>
    <sheet name="대학별 변환표준점수" sheetId="9" r:id="rId15"/>
    <sheet name="서울대교차지원" sheetId="18" state="hidden" r:id="rId16"/>
    <sheet name="서울대교차탐구" sheetId="19" state="hidden" r:id="rId17"/>
    <sheet name="서울대과탐변표" sheetId="17" state="hidden" r:id="rId18"/>
    <sheet name="Sheet3" sheetId="13" state="hidden" r:id="rId19"/>
    <sheet name="원점수변환" sheetId="3" state="hidden" r:id="rId20"/>
  </sheets>
  <definedNames>
    <definedName name="_xlnm._FilterDatabase" localSheetId="18" hidden="1">Sheet3!$A$1:$A$93</definedName>
    <definedName name="_xlnm._FilterDatabase" localSheetId="10" hidden="1">Sheet4!$A$1:$H$305</definedName>
    <definedName name="_xlnm._FilterDatabase" localSheetId="13" hidden="1">임시변표!$I$4:$L$39</definedName>
    <definedName name="_xlnm._FilterDatabase" localSheetId="8" hidden="1">청솔누적표!$AI$2:$AX$128</definedName>
    <definedName name="_xlnm._FilterDatabase" localSheetId="7" hidden="1">칼레이도스코프!$AF$1:$AH$12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2" l="1"/>
  <c r="H21" i="22"/>
  <c r="H22" i="22"/>
  <c r="T13" i="1"/>
  <c r="S13" i="1"/>
  <c r="Q13" i="1"/>
  <c r="R13" i="1"/>
  <c r="P13" i="1"/>
  <c r="P15" i="1"/>
  <c r="J126" i="23"/>
  <c r="J125" i="23"/>
  <c r="J124" i="23"/>
  <c r="J123" i="23"/>
  <c r="J122" i="23"/>
  <c r="J121" i="23"/>
  <c r="J120" i="23"/>
  <c r="J119" i="23"/>
  <c r="J118" i="23"/>
  <c r="J117" i="23"/>
  <c r="J116" i="23"/>
  <c r="J115" i="23"/>
  <c r="J114" i="23"/>
  <c r="J113" i="23"/>
  <c r="J112" i="23"/>
  <c r="J111" i="23"/>
  <c r="J110" i="23"/>
  <c r="J109" i="23"/>
  <c r="J108" i="23"/>
  <c r="J107" i="23"/>
  <c r="J106" i="23"/>
  <c r="J105" i="23"/>
  <c r="J104" i="23"/>
  <c r="J103" i="23"/>
  <c r="J102" i="23"/>
  <c r="J101" i="23"/>
  <c r="J100" i="23"/>
  <c r="J99" i="23"/>
  <c r="J98" i="23"/>
  <c r="J97" i="23"/>
  <c r="J96" i="23"/>
  <c r="J95" i="23"/>
  <c r="J94" i="23"/>
  <c r="J93" i="23"/>
  <c r="J92" i="23"/>
  <c r="J91" i="23"/>
  <c r="J90" i="23"/>
  <c r="J89" i="23"/>
  <c r="J88" i="23"/>
  <c r="J87" i="23"/>
  <c r="J86" i="23"/>
  <c r="J85" i="23"/>
  <c r="J84" i="23"/>
  <c r="J83" i="23"/>
  <c r="J82" i="23"/>
  <c r="J81" i="23"/>
  <c r="J80" i="23"/>
  <c r="J79" i="23"/>
  <c r="J78" i="23"/>
  <c r="J77" i="23"/>
  <c r="J76" i="23"/>
  <c r="J75" i="23"/>
  <c r="J74" i="23"/>
  <c r="J73" i="23"/>
  <c r="J72" i="23"/>
  <c r="J71" i="23"/>
  <c r="J70" i="23"/>
  <c r="J69" i="23"/>
  <c r="J68" i="23"/>
  <c r="J67" i="23"/>
  <c r="J66" i="23"/>
  <c r="J65" i="23"/>
  <c r="J64" i="23"/>
  <c r="J63" i="23"/>
  <c r="J62" i="23"/>
  <c r="J61" i="23"/>
  <c r="J60" i="23"/>
  <c r="J59" i="23"/>
  <c r="J58" i="23"/>
  <c r="J57" i="23"/>
  <c r="J56" i="23"/>
  <c r="J55" i="23"/>
  <c r="J54" i="23"/>
  <c r="J53" i="23"/>
  <c r="J52" i="23"/>
  <c r="J51" i="23"/>
  <c r="J50" i="23"/>
  <c r="J49" i="23"/>
  <c r="J48" i="23"/>
  <c r="J47" i="23"/>
  <c r="J46" i="23"/>
  <c r="J45" i="23"/>
  <c r="J44" i="23"/>
  <c r="J43" i="23"/>
  <c r="J42" i="23"/>
  <c r="J41" i="23"/>
  <c r="J40" i="23"/>
  <c r="J39" i="23"/>
  <c r="J38" i="23"/>
  <c r="J37" i="23"/>
  <c r="J36" i="23"/>
  <c r="J35" i="23"/>
  <c r="J34" i="23"/>
  <c r="J33" i="23"/>
  <c r="J32" i="23"/>
  <c r="J31" i="23"/>
  <c r="J30" i="23"/>
  <c r="J29" i="23"/>
  <c r="J28" i="23"/>
  <c r="J27" i="23"/>
  <c r="J26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J8" i="23"/>
  <c r="J7" i="23"/>
  <c r="J6" i="23"/>
  <c r="J5" i="23"/>
  <c r="J4" i="23"/>
  <c r="J3" i="23"/>
  <c r="J2" i="23"/>
  <c r="J127" i="23"/>
  <c r="M14" i="16" l="1"/>
  <c r="C22" i="22"/>
  <c r="C21" i="22"/>
  <c r="C20" i="22"/>
  <c r="C19" i="22"/>
  <c r="Q60" i="1" l="1"/>
  <c r="R60" i="1"/>
  <c r="S60" i="1"/>
  <c r="T60" i="1"/>
  <c r="P60" i="1"/>
  <c r="F1" i="10" l="1"/>
  <c r="E1" i="10"/>
  <c r="L1" i="10"/>
  <c r="AE20" i="10" l="1"/>
  <c r="J1" i="10"/>
  <c r="M4" i="1"/>
  <c r="O4" i="1"/>
  <c r="C4" i="1" l="1"/>
  <c r="T31" i="1"/>
  <c r="S31" i="1"/>
  <c r="P30" i="1"/>
  <c r="Q30" i="1"/>
  <c r="R30" i="1"/>
  <c r="S30" i="1"/>
  <c r="T30" i="1"/>
  <c r="Q29" i="1"/>
  <c r="R29" i="1"/>
  <c r="S29" i="1"/>
  <c r="T29" i="1"/>
  <c r="P29" i="1"/>
  <c r="C11" i="1" l="1"/>
  <c r="C13" i="1"/>
  <c r="G5" i="1"/>
  <c r="G4" i="1"/>
  <c r="F5" i="1"/>
  <c r="F4" i="1"/>
  <c r="E5" i="1"/>
  <c r="E4" i="1"/>
  <c r="D5" i="1"/>
  <c r="C5" i="1"/>
  <c r="D4" i="1"/>
  <c r="Q34" i="16"/>
  <c r="T38" i="1"/>
  <c r="S38" i="1"/>
  <c r="R38" i="1"/>
  <c r="Q38" i="1"/>
  <c r="P38" i="1"/>
  <c r="S37" i="1"/>
  <c r="T37" i="1" s="1"/>
  <c r="R37" i="1"/>
  <c r="Q37" i="1"/>
  <c r="P37" i="1"/>
  <c r="C37" i="1" s="1"/>
  <c r="E11" i="1" l="1"/>
  <c r="E13" i="1"/>
  <c r="D11" i="1"/>
  <c r="D13" i="1"/>
  <c r="E37" i="1"/>
  <c r="D37" i="1"/>
  <c r="D38" i="1"/>
  <c r="D29" i="1"/>
  <c r="E38" i="1"/>
  <c r="E29" i="1"/>
  <c r="C30" i="1"/>
  <c r="D30" i="1"/>
  <c r="G30" i="1"/>
  <c r="F30" i="1"/>
  <c r="E30" i="1"/>
  <c r="C29" i="1"/>
  <c r="C38" i="1"/>
  <c r="P36" i="1"/>
  <c r="C36" i="1" s="1"/>
  <c r="Q36" i="1"/>
  <c r="D36" i="1" s="1"/>
  <c r="R36" i="1"/>
  <c r="E36" i="1" s="1"/>
  <c r="S36" i="1"/>
  <c r="T36" i="1"/>
  <c r="T35" i="1"/>
  <c r="S35" i="1"/>
  <c r="R35" i="1"/>
  <c r="E35" i="1" s="1"/>
  <c r="Q35" i="1"/>
  <c r="D35" i="1" s="1"/>
  <c r="P35" i="1"/>
  <c r="C35" i="1" s="1"/>
  <c r="S55" i="1" l="1"/>
  <c r="F55" i="1" s="1"/>
  <c r="R55" i="1"/>
  <c r="E55" i="1" s="1"/>
  <c r="Q55" i="1"/>
  <c r="D55" i="1" s="1"/>
  <c r="T55" i="1"/>
  <c r="G55" i="1" s="1"/>
  <c r="P55" i="1"/>
  <c r="C55" i="1" s="1"/>
  <c r="T51" i="1"/>
  <c r="S51" i="1"/>
  <c r="R51" i="1"/>
  <c r="Q51" i="1"/>
  <c r="Q56" i="1"/>
  <c r="D59" i="1"/>
  <c r="E59" i="1"/>
  <c r="C59" i="1"/>
  <c r="T59" i="1"/>
  <c r="S59" i="1"/>
  <c r="D58" i="1"/>
  <c r="E58" i="1"/>
  <c r="F58" i="1"/>
  <c r="G58" i="1"/>
  <c r="C58" i="1"/>
  <c r="H55" i="1" l="1"/>
  <c r="I55" i="1"/>
  <c r="Q40" i="16" s="1"/>
  <c r="L47" i="16" s="1"/>
  <c r="I58" i="1"/>
  <c r="H58" i="1"/>
  <c r="L43" i="16" l="1"/>
  <c r="Q43" i="16"/>
  <c r="G56" i="1"/>
  <c r="F56" i="1"/>
  <c r="D56" i="1"/>
  <c r="E56" i="1"/>
  <c r="C56" i="1"/>
  <c r="D54" i="1"/>
  <c r="E54" i="1"/>
  <c r="F54" i="1"/>
  <c r="G54" i="1"/>
  <c r="C54" i="1"/>
  <c r="D53" i="1"/>
  <c r="E53" i="1"/>
  <c r="F53" i="1"/>
  <c r="G53" i="1"/>
  <c r="C53" i="1"/>
  <c r="H53" i="1" l="1"/>
  <c r="I56" i="1"/>
  <c r="I54" i="1"/>
  <c r="H56" i="1"/>
  <c r="H54" i="1"/>
  <c r="G45" i="16" l="1"/>
  <c r="L39" i="16"/>
  <c r="Q39" i="16" s="1"/>
  <c r="L38" i="16"/>
  <c r="Q38" i="16"/>
  <c r="D52" i="1"/>
  <c r="E52" i="1"/>
  <c r="F52" i="1"/>
  <c r="G52" i="1"/>
  <c r="C52" i="1"/>
  <c r="D51" i="1"/>
  <c r="E51" i="1"/>
  <c r="F51" i="1"/>
  <c r="G51" i="1"/>
  <c r="C51" i="1"/>
  <c r="D50" i="1"/>
  <c r="E50" i="1"/>
  <c r="F50" i="1"/>
  <c r="G50" i="1"/>
  <c r="C50" i="1"/>
  <c r="C49" i="1"/>
  <c r="T49" i="1"/>
  <c r="G49" i="1" s="1"/>
  <c r="S49" i="1"/>
  <c r="F49" i="1" s="1"/>
  <c r="R49" i="1"/>
  <c r="E49" i="1" s="1"/>
  <c r="Q49" i="1"/>
  <c r="D49" i="1" s="1"/>
  <c r="P49" i="1"/>
  <c r="H50" i="1" l="1"/>
  <c r="I50" i="1"/>
  <c r="H52" i="1"/>
  <c r="I52" i="1"/>
  <c r="I49" i="1"/>
  <c r="G48" i="16" s="1"/>
  <c r="H51" i="1"/>
  <c r="I51" i="1"/>
  <c r="L36" i="16" s="1"/>
  <c r="H49" i="1"/>
  <c r="S48" i="1"/>
  <c r="F48" i="1" s="1"/>
  <c r="R48" i="1"/>
  <c r="E48" i="1" s="1"/>
  <c r="Q48" i="1"/>
  <c r="D48" i="1" s="1"/>
  <c r="P48" i="1"/>
  <c r="C48" i="1" s="1"/>
  <c r="F47" i="1"/>
  <c r="G47" i="1"/>
  <c r="D47" i="1"/>
  <c r="E47" i="1"/>
  <c r="C47" i="1"/>
  <c r="D46" i="1"/>
  <c r="E46" i="1"/>
  <c r="F46" i="1"/>
  <c r="G46" i="1"/>
  <c r="C46" i="1"/>
  <c r="R45" i="1"/>
  <c r="E45" i="1" s="1"/>
  <c r="Q45" i="1"/>
  <c r="D45" i="1" s="1"/>
  <c r="P45" i="1"/>
  <c r="C45" i="1" s="1"/>
  <c r="S44" i="1"/>
  <c r="G44" i="1"/>
  <c r="R44" i="1"/>
  <c r="E44" i="1" s="1"/>
  <c r="Q44" i="1"/>
  <c r="D44" i="1" s="1"/>
  <c r="P44" i="1"/>
  <c r="C44" i="1" s="1"/>
  <c r="L37" i="16" l="1"/>
  <c r="Q37" i="16"/>
  <c r="Q36" i="16"/>
  <c r="G39" i="16"/>
  <c r="T48" i="1"/>
  <c r="G48" i="1" s="1"/>
  <c r="H48" i="1" s="1"/>
  <c r="H47" i="1"/>
  <c r="I46" i="1"/>
  <c r="I47" i="1"/>
  <c r="I48" i="1"/>
  <c r="L41" i="16" s="1"/>
  <c r="H46" i="1"/>
  <c r="T43" i="1"/>
  <c r="S43" i="1"/>
  <c r="Q43" i="1"/>
  <c r="D43" i="1" s="1"/>
  <c r="E43" i="1"/>
  <c r="C43" i="1"/>
  <c r="E42" i="1"/>
  <c r="D42" i="1"/>
  <c r="C42" i="1"/>
  <c r="S41" i="1"/>
  <c r="T41" i="1" s="1"/>
  <c r="R41" i="1"/>
  <c r="E41" i="1" s="1"/>
  <c r="Q41" i="1"/>
  <c r="D41" i="1" s="1"/>
  <c r="P41" i="1"/>
  <c r="C41" i="1" s="1"/>
  <c r="S40" i="1"/>
  <c r="T40" i="1" s="1"/>
  <c r="Q40" i="1"/>
  <c r="D40" i="1" s="1"/>
  <c r="R40" i="1"/>
  <c r="E40" i="1" s="1"/>
  <c r="P40" i="1"/>
  <c r="C40" i="1" s="1"/>
  <c r="G41" i="16" l="1"/>
  <c r="Q42" i="16" s="1"/>
  <c r="Q58" i="16"/>
  <c r="P26" i="1"/>
  <c r="Q26" i="1" s="1"/>
  <c r="R26" i="1" s="1"/>
  <c r="S26" i="1" s="1"/>
  <c r="T26" i="1" s="1"/>
  <c r="S15" i="1"/>
  <c r="T15" i="1" s="1"/>
  <c r="R15" i="1"/>
  <c r="Q15" i="1"/>
  <c r="R14" i="1"/>
  <c r="Q14" i="1"/>
  <c r="S22" i="1"/>
  <c r="S24" i="1" s="1"/>
  <c r="T20" i="1"/>
  <c r="S20" i="1"/>
  <c r="T19" i="1"/>
  <c r="S19" i="1"/>
  <c r="S14" i="1"/>
  <c r="T14" i="1" s="1"/>
  <c r="E6" i="1"/>
  <c r="L5" i="2"/>
  <c r="F6" i="2"/>
  <c r="L6" i="2"/>
  <c r="F7" i="2"/>
  <c r="L7" i="2"/>
  <c r="F8" i="2"/>
  <c r="L8" i="2"/>
  <c r="F9" i="2"/>
  <c r="L9" i="2"/>
  <c r="F10" i="2"/>
  <c r="L10" i="2"/>
  <c r="F11" i="2"/>
  <c r="L11" i="2"/>
  <c r="F12" i="2"/>
  <c r="L12" i="2"/>
  <c r="F13" i="2"/>
  <c r="L13" i="2"/>
  <c r="F14" i="2"/>
  <c r="L14" i="2"/>
  <c r="F15" i="2"/>
  <c r="L15" i="2"/>
  <c r="F16" i="2"/>
  <c r="L16" i="2"/>
  <c r="F17" i="2"/>
  <c r="L17" i="2"/>
  <c r="F18" i="2"/>
  <c r="L18" i="2"/>
  <c r="F19" i="2"/>
  <c r="L19" i="2"/>
  <c r="F20" i="2"/>
  <c r="L20" i="2"/>
  <c r="F21" i="2"/>
  <c r="L21" i="2"/>
  <c r="F22" i="2"/>
  <c r="L22" i="2"/>
  <c r="F23" i="2"/>
  <c r="L23" i="2"/>
  <c r="F24" i="2"/>
  <c r="L24" i="2"/>
  <c r="F25" i="2"/>
  <c r="L25" i="2"/>
  <c r="F26" i="2"/>
  <c r="L26" i="2"/>
  <c r="F27" i="2"/>
  <c r="L27" i="2"/>
  <c r="F28" i="2"/>
  <c r="L28" i="2"/>
  <c r="F29" i="2"/>
  <c r="L29" i="2"/>
  <c r="F30" i="2"/>
  <c r="L30" i="2"/>
  <c r="F31" i="2"/>
  <c r="L31" i="2"/>
  <c r="F32" i="2"/>
  <c r="L32" i="2"/>
  <c r="F33" i="2"/>
  <c r="L33" i="2"/>
  <c r="F34" i="2"/>
  <c r="L34" i="2"/>
  <c r="F35" i="2"/>
  <c r="L35" i="2"/>
  <c r="F36" i="2"/>
  <c r="L36" i="2"/>
  <c r="F37" i="2"/>
  <c r="L37" i="2"/>
  <c r="F38" i="2"/>
  <c r="L38" i="2"/>
  <c r="F39" i="2"/>
  <c r="L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D2" i="10"/>
  <c r="G2" i="1" s="1"/>
  <c r="C2" i="10"/>
  <c r="F2" i="1" s="1"/>
  <c r="D4" i="10"/>
  <c r="D3" i="10"/>
  <c r="C4" i="10"/>
  <c r="C3" i="10"/>
  <c r="C6" i="1"/>
  <c r="D6" i="1"/>
  <c r="G57" i="16" l="1"/>
  <c r="T22" i="1"/>
  <c r="T24" i="1" s="1"/>
  <c r="S23" i="1"/>
  <c r="D16" i="10"/>
  <c r="C16" i="10"/>
  <c r="D12" i="10"/>
  <c r="C12" i="10"/>
  <c r="D13" i="10"/>
  <c r="AF13" i="10" s="1"/>
  <c r="D10" i="10"/>
  <c r="C10" i="10"/>
  <c r="T23" i="1"/>
  <c r="C15" i="10"/>
  <c r="C11" i="10"/>
  <c r="D15" i="10"/>
  <c r="D11" i="10"/>
  <c r="C14" i="10"/>
  <c r="D14" i="10"/>
  <c r="C17" i="10"/>
  <c r="C13" i="10"/>
  <c r="D17" i="10"/>
  <c r="AF17" i="10" s="1"/>
  <c r="AE16" i="10" l="1"/>
  <c r="AF16" i="10"/>
  <c r="AE11" i="10"/>
  <c r="AF11" i="10"/>
  <c r="AE15" i="10"/>
  <c r="AF15" i="10"/>
  <c r="AE12" i="10"/>
  <c r="AF12" i="10"/>
  <c r="AE14" i="10"/>
  <c r="AF14" i="10"/>
  <c r="AE10" i="10"/>
  <c r="AF10" i="10"/>
  <c r="AD16" i="10"/>
  <c r="F16" i="10"/>
  <c r="AD14" i="10"/>
  <c r="F14" i="10"/>
  <c r="AD15" i="10"/>
  <c r="F15" i="10"/>
  <c r="AD11" i="10"/>
  <c r="F11" i="10"/>
  <c r="AD13" i="10"/>
  <c r="F13" i="10"/>
  <c r="AD12" i="10"/>
  <c r="F12" i="10"/>
  <c r="AD17" i="10"/>
  <c r="F17" i="10"/>
  <c r="AD10" i="10"/>
  <c r="F10" i="10"/>
  <c r="X11" i="10"/>
  <c r="X16" i="10"/>
  <c r="X14" i="10"/>
  <c r="X13" i="10"/>
  <c r="X12" i="10"/>
  <c r="X17" i="10"/>
  <c r="X10" i="10"/>
  <c r="J25" i="10"/>
  <c r="I53" i="1" s="1"/>
  <c r="G36" i="16" s="1"/>
  <c r="AA14" i="10"/>
  <c r="AC14" i="10"/>
  <c r="AB14" i="10"/>
  <c r="AC10" i="10"/>
  <c r="AB10" i="10"/>
  <c r="AA17" i="10"/>
  <c r="AC17" i="10"/>
  <c r="AB17" i="10"/>
  <c r="AA13" i="10"/>
  <c r="AC13" i="10"/>
  <c r="AB13" i="10"/>
  <c r="AC16" i="10"/>
  <c r="AB16" i="10"/>
  <c r="AA11" i="10"/>
  <c r="AC11" i="10"/>
  <c r="AB11" i="10"/>
  <c r="AA15" i="10"/>
  <c r="AC15" i="10"/>
  <c r="AB15" i="10"/>
  <c r="AA12" i="10"/>
  <c r="AC12" i="10"/>
  <c r="AB12" i="10"/>
  <c r="Z10" i="10"/>
  <c r="AA10" i="10"/>
  <c r="Z16" i="10"/>
  <c r="AA16" i="10"/>
  <c r="X15" i="10"/>
  <c r="Y14" i="10"/>
  <c r="Z14" i="10"/>
  <c r="Y17" i="10"/>
  <c r="Z17" i="10"/>
  <c r="Y11" i="10"/>
  <c r="Z11" i="10"/>
  <c r="Y13" i="10"/>
  <c r="Z13" i="10"/>
  <c r="Y15" i="10"/>
  <c r="Z15" i="10"/>
  <c r="Y12" i="10"/>
  <c r="Z12" i="10"/>
  <c r="I16" i="10"/>
  <c r="Y16" i="10"/>
  <c r="Y10" i="10"/>
  <c r="R10" i="10"/>
  <c r="U10" i="10"/>
  <c r="T10" i="10"/>
  <c r="R16" i="10"/>
  <c r="U16" i="10"/>
  <c r="T16" i="10"/>
  <c r="R15" i="10"/>
  <c r="U15" i="10"/>
  <c r="T15" i="10"/>
  <c r="N16" i="10"/>
  <c r="R14" i="10"/>
  <c r="U14" i="10"/>
  <c r="T14" i="10"/>
  <c r="R11" i="10"/>
  <c r="U11" i="10"/>
  <c r="T11" i="10"/>
  <c r="H16" i="10"/>
  <c r="R13" i="10"/>
  <c r="U13" i="10"/>
  <c r="T13" i="10"/>
  <c r="R17" i="10"/>
  <c r="U17" i="10"/>
  <c r="T17" i="10"/>
  <c r="M16" i="10"/>
  <c r="J16" i="10"/>
  <c r="R12" i="10"/>
  <c r="U12" i="10"/>
  <c r="T12" i="10"/>
  <c r="V17" i="10"/>
  <c r="W17" i="10"/>
  <c r="V15" i="10"/>
  <c r="W15" i="10"/>
  <c r="V16" i="10"/>
  <c r="W16" i="10"/>
  <c r="V14" i="10"/>
  <c r="W14" i="10"/>
  <c r="V12" i="10"/>
  <c r="W12" i="10"/>
  <c r="V13" i="10"/>
  <c r="W13" i="10"/>
  <c r="V11" i="10"/>
  <c r="W11" i="10"/>
  <c r="V10" i="10"/>
  <c r="W10" i="10"/>
  <c r="P17" i="10"/>
  <c r="S17" i="10"/>
  <c r="P15" i="10"/>
  <c r="S15" i="10"/>
  <c r="P16" i="10"/>
  <c r="S16" i="10"/>
  <c r="P14" i="10"/>
  <c r="S14" i="10"/>
  <c r="P12" i="10"/>
  <c r="S12" i="10"/>
  <c r="P13" i="10"/>
  <c r="S13" i="10"/>
  <c r="P11" i="10"/>
  <c r="S11" i="10"/>
  <c r="P10" i="10"/>
  <c r="S10" i="10"/>
  <c r="L16" i="10"/>
  <c r="Q17" i="10"/>
  <c r="Q14" i="10"/>
  <c r="Q11" i="10"/>
  <c r="Q15" i="10"/>
  <c r="L13" i="10"/>
  <c r="Q13" i="10"/>
  <c r="K16" i="10"/>
  <c r="Q16" i="10"/>
  <c r="O10" i="10"/>
  <c r="Q10" i="10"/>
  <c r="J12" i="10"/>
  <c r="Q12" i="10"/>
  <c r="N10" i="10"/>
  <c r="J10" i="10"/>
  <c r="M10" i="10"/>
  <c r="O16" i="10"/>
  <c r="G16" i="10"/>
  <c r="L10" i="10"/>
  <c r="H10" i="10"/>
  <c r="I10" i="10"/>
  <c r="K10" i="10"/>
  <c r="G10" i="10"/>
  <c r="I12" i="10"/>
  <c r="H12" i="10"/>
  <c r="M12" i="10"/>
  <c r="G12" i="10"/>
  <c r="L12" i="10"/>
  <c r="O12" i="10"/>
  <c r="K12" i="10"/>
  <c r="N12" i="10"/>
  <c r="J13" i="10"/>
  <c r="K13" i="10"/>
  <c r="G13" i="10"/>
  <c r="M13" i="10"/>
  <c r="O13" i="10"/>
  <c r="I13" i="10"/>
  <c r="N13" i="10"/>
  <c r="H13" i="10"/>
  <c r="O11" i="10"/>
  <c r="N11" i="10"/>
  <c r="M11" i="10"/>
  <c r="L11" i="10"/>
  <c r="K11" i="10"/>
  <c r="J11" i="10"/>
  <c r="I11" i="10"/>
  <c r="H11" i="10"/>
  <c r="G11" i="10"/>
  <c r="K17" i="10"/>
  <c r="O17" i="10"/>
  <c r="N17" i="10"/>
  <c r="M17" i="10"/>
  <c r="L17" i="10"/>
  <c r="J17" i="10"/>
  <c r="I17" i="10"/>
  <c r="H17" i="10"/>
  <c r="G17" i="10"/>
  <c r="K14" i="10"/>
  <c r="O14" i="10"/>
  <c r="N14" i="10"/>
  <c r="M14" i="10"/>
  <c r="L14" i="10"/>
  <c r="J14" i="10"/>
  <c r="I14" i="10"/>
  <c r="H14" i="10"/>
  <c r="G14" i="10"/>
  <c r="K15" i="10"/>
  <c r="O15" i="10"/>
  <c r="N15" i="10"/>
  <c r="M15" i="10"/>
  <c r="L15" i="10"/>
  <c r="J15" i="10"/>
  <c r="I15" i="10"/>
  <c r="H15" i="10"/>
  <c r="G15" i="10"/>
  <c r="AE19" i="10" l="1"/>
  <c r="F47" i="10" s="1"/>
  <c r="G59" i="1" s="1"/>
  <c r="AE18" i="10"/>
  <c r="E47" i="10" s="1"/>
  <c r="F59" i="1" s="1"/>
  <c r="I59" i="1" s="1"/>
  <c r="Q56" i="16" s="1"/>
  <c r="AF19" i="10"/>
  <c r="F48" i="10" s="1"/>
  <c r="G13" i="1" s="1"/>
  <c r="AF18" i="10"/>
  <c r="E48" i="10" s="1"/>
  <c r="F13" i="1" s="1"/>
  <c r="X19" i="10"/>
  <c r="F40" i="10" s="1"/>
  <c r="AD18" i="10"/>
  <c r="E46" i="10" s="1"/>
  <c r="F11" i="1" s="1"/>
  <c r="AD19" i="10"/>
  <c r="F46" i="10" s="1"/>
  <c r="G11" i="1" s="1"/>
  <c r="X18" i="10"/>
  <c r="E40" i="10" s="1"/>
  <c r="AC18" i="10"/>
  <c r="E45" i="10" s="1"/>
  <c r="F38" i="1" s="1"/>
  <c r="AC19" i="10"/>
  <c r="F45" i="10" s="1"/>
  <c r="G38" i="1" s="1"/>
  <c r="AB19" i="10"/>
  <c r="F44" i="10" s="1"/>
  <c r="G37" i="1" s="1"/>
  <c r="AB18" i="10"/>
  <c r="E44" i="10" s="1"/>
  <c r="F37" i="1" s="1"/>
  <c r="AA18" i="10"/>
  <c r="E43" i="10" s="1"/>
  <c r="AA19" i="10"/>
  <c r="F43" i="10" s="1"/>
  <c r="Z19" i="10"/>
  <c r="F42" i="10" s="1"/>
  <c r="Z18" i="10"/>
  <c r="E42" i="10" s="1"/>
  <c r="E32" i="10"/>
  <c r="F25" i="1" s="1"/>
  <c r="V18" i="10"/>
  <c r="E38" i="10" s="1"/>
  <c r="F45" i="1" s="1"/>
  <c r="Y18" i="10"/>
  <c r="E41" i="10" s="1"/>
  <c r="Y19" i="10"/>
  <c r="F41" i="10" s="1"/>
  <c r="T18" i="10"/>
  <c r="E36" i="10" s="1"/>
  <c r="F43" i="1" s="1"/>
  <c r="T19" i="10"/>
  <c r="F36" i="10" s="1"/>
  <c r="G43" i="1" s="1"/>
  <c r="U18" i="10"/>
  <c r="E37" i="10" s="1"/>
  <c r="F44" i="1" s="1"/>
  <c r="U19" i="10"/>
  <c r="W18" i="10"/>
  <c r="E39" i="10" s="1"/>
  <c r="W19" i="10"/>
  <c r="F39" i="10" s="1"/>
  <c r="V19" i="10"/>
  <c r="F38" i="10" s="1"/>
  <c r="G45" i="1" s="1"/>
  <c r="P19" i="10"/>
  <c r="F32" i="10"/>
  <c r="G25" i="1" s="1"/>
  <c r="H25" i="1" s="1"/>
  <c r="P18" i="10"/>
  <c r="S18" i="10"/>
  <c r="E35" i="10" s="1"/>
  <c r="F42" i="1" s="1"/>
  <c r="S19" i="10"/>
  <c r="F35" i="10" s="1"/>
  <c r="G42" i="1" s="1"/>
  <c r="R18" i="10"/>
  <c r="E34" i="10" s="1"/>
  <c r="F41" i="1" s="1"/>
  <c r="R19" i="10"/>
  <c r="F34" i="10" s="1"/>
  <c r="G41" i="1" s="1"/>
  <c r="Q19" i="10"/>
  <c r="F33" i="10" s="1"/>
  <c r="G40" i="1" s="1"/>
  <c r="Q18" i="10"/>
  <c r="E33" i="10" s="1"/>
  <c r="F40" i="1" s="1"/>
  <c r="F26" i="10"/>
  <c r="E23" i="10"/>
  <c r="F12" i="1" s="1"/>
  <c r="L18" i="10"/>
  <c r="F24" i="10"/>
  <c r="E24" i="10"/>
  <c r="F28" i="10"/>
  <c r="G20" i="1" s="1"/>
  <c r="I19" i="10"/>
  <c r="F25" i="10"/>
  <c r="G16" i="1" s="1"/>
  <c r="F29" i="10"/>
  <c r="E22" i="10"/>
  <c r="F10" i="1" s="1"/>
  <c r="E26" i="10"/>
  <c r="E30" i="10"/>
  <c r="F24" i="1" s="1"/>
  <c r="F23" i="10"/>
  <c r="G12" i="1" s="1"/>
  <c r="F27" i="10"/>
  <c r="G19" i="1" s="1"/>
  <c r="E25" i="10"/>
  <c r="F16" i="1" s="1"/>
  <c r="M18" i="10"/>
  <c r="G19" i="10"/>
  <c r="F31" i="10"/>
  <c r="G26" i="1" s="1"/>
  <c r="E31" i="10"/>
  <c r="F26" i="1" s="1"/>
  <c r="E29" i="10"/>
  <c r="F22" i="10"/>
  <c r="G10" i="1" s="1"/>
  <c r="F30" i="10"/>
  <c r="G24" i="1" s="1"/>
  <c r="E27" i="10"/>
  <c r="F19" i="1" s="1"/>
  <c r="M19" i="10"/>
  <c r="L19" i="10"/>
  <c r="E28" i="10"/>
  <c r="F20" i="1" s="1"/>
  <c r="H18" i="10"/>
  <c r="G18" i="10"/>
  <c r="K18" i="10"/>
  <c r="F19" i="10"/>
  <c r="J19" i="10"/>
  <c r="N18" i="10"/>
  <c r="J18" i="10"/>
  <c r="H19" i="10"/>
  <c r="O18" i="10"/>
  <c r="O19" i="10"/>
  <c r="I18" i="10"/>
  <c r="K19" i="10"/>
  <c r="N19" i="10"/>
  <c r="F18" i="10"/>
  <c r="H59" i="1" l="1"/>
  <c r="H13" i="1"/>
  <c r="I13" i="1"/>
  <c r="I11" i="1"/>
  <c r="D8" i="22" s="1"/>
  <c r="H11" i="1"/>
  <c r="H37" i="1"/>
  <c r="I37" i="1"/>
  <c r="D20" i="22" s="1"/>
  <c r="H38" i="1"/>
  <c r="I38" i="1"/>
  <c r="D21" i="22" s="1"/>
  <c r="G35" i="1"/>
  <c r="G36" i="1"/>
  <c r="F36" i="1"/>
  <c r="F35" i="1"/>
  <c r="H45" i="1"/>
  <c r="H44" i="1"/>
  <c r="I44" i="1"/>
  <c r="I43" i="1"/>
  <c r="L40" i="16" s="1"/>
  <c r="Q41" i="16" s="1"/>
  <c r="H43" i="1"/>
  <c r="I45" i="1"/>
  <c r="H42" i="1"/>
  <c r="I42" i="1"/>
  <c r="H41" i="1"/>
  <c r="I41" i="1"/>
  <c r="L45" i="16" s="1"/>
  <c r="Q44" i="16" s="1"/>
  <c r="H40" i="1"/>
  <c r="I40" i="1"/>
  <c r="G40" i="16" s="1"/>
  <c r="H10" i="1"/>
  <c r="H24" i="1"/>
  <c r="H19" i="1"/>
  <c r="H26" i="1"/>
  <c r="H20" i="1"/>
  <c r="H16" i="1"/>
  <c r="H12" i="1"/>
  <c r="G14" i="1"/>
  <c r="G15" i="1"/>
  <c r="F14" i="1"/>
  <c r="F15" i="1"/>
  <c r="G22" i="1"/>
  <c r="G23" i="1"/>
  <c r="G17" i="1"/>
  <c r="F22" i="1"/>
  <c r="F23" i="1"/>
  <c r="F17" i="1"/>
  <c r="D10" i="6" l="1"/>
  <c r="G11" i="16"/>
  <c r="D23" i="22"/>
  <c r="F20" i="22"/>
  <c r="E20" i="22"/>
  <c r="F21" i="22"/>
  <c r="E21" i="22"/>
  <c r="G8" i="22"/>
  <c r="F8" i="22"/>
  <c r="E8" i="22"/>
  <c r="L24" i="16"/>
  <c r="L25" i="16"/>
  <c r="G24" i="16" s="1"/>
  <c r="L11" i="16"/>
  <c r="D8" i="6"/>
  <c r="G42" i="16"/>
  <c r="L35" i="16" s="1"/>
  <c r="L57" i="16"/>
  <c r="G58" i="16"/>
  <c r="Q33" i="16"/>
  <c r="L56" i="16" s="1"/>
  <c r="Q57" i="16"/>
  <c r="L42" i="16"/>
  <c r="G46" i="16"/>
  <c r="H35" i="1"/>
  <c r="I35" i="1" s="1"/>
  <c r="H36" i="1"/>
  <c r="I36" i="1" s="1"/>
  <c r="G22" i="16" s="1"/>
  <c r="H17" i="1"/>
  <c r="H22" i="1"/>
  <c r="H23" i="1"/>
  <c r="H15" i="1"/>
  <c r="H14" i="1"/>
  <c r="R19" i="1"/>
  <c r="Q19" i="1"/>
  <c r="P19" i="1"/>
  <c r="E23" i="22" l="1"/>
  <c r="F23" i="22"/>
  <c r="E10" i="6"/>
  <c r="M10" i="6"/>
  <c r="G10" i="6"/>
  <c r="F10" i="6"/>
  <c r="N10" i="6" s="1"/>
  <c r="D22" i="22"/>
  <c r="F22" i="22" s="1"/>
  <c r="M22" i="16" s="1"/>
  <c r="G21" i="16"/>
  <c r="L22" i="16" s="1"/>
  <c r="Q13" i="16"/>
  <c r="G23" i="16"/>
  <c r="K38" i="1"/>
  <c r="H24" i="16"/>
  <c r="M25" i="16" s="1"/>
  <c r="K37" i="1"/>
  <c r="H23" i="16"/>
  <c r="E22" i="22"/>
  <c r="M20" i="22"/>
  <c r="K20" i="22"/>
  <c r="O20" i="22"/>
  <c r="K21" i="22"/>
  <c r="M21" i="22"/>
  <c r="O21" i="22"/>
  <c r="O8" i="22"/>
  <c r="P8" i="22"/>
  <c r="K8" i="22"/>
  <c r="N8" i="22"/>
  <c r="L8" i="22"/>
  <c r="M8" i="22"/>
  <c r="G8" i="6"/>
  <c r="F8" i="6"/>
  <c r="E8" i="6"/>
  <c r="L23" i="16"/>
  <c r="C34" i="1"/>
  <c r="D34" i="1"/>
  <c r="E34" i="1"/>
  <c r="F34" i="1"/>
  <c r="G34" i="1"/>
  <c r="C33" i="1"/>
  <c r="D33" i="1"/>
  <c r="E33" i="1"/>
  <c r="F33" i="1"/>
  <c r="G33" i="1"/>
  <c r="G32" i="1"/>
  <c r="F32" i="1"/>
  <c r="D32" i="1"/>
  <c r="E32" i="1"/>
  <c r="C32" i="1"/>
  <c r="D31" i="1"/>
  <c r="E31" i="1"/>
  <c r="F31" i="1"/>
  <c r="G31" i="1"/>
  <c r="C31" i="1"/>
  <c r="G29" i="1"/>
  <c r="F29" i="1"/>
  <c r="D28" i="1"/>
  <c r="E28" i="1"/>
  <c r="F28" i="1"/>
  <c r="G28" i="1"/>
  <c r="C28" i="1"/>
  <c r="D27" i="1"/>
  <c r="E27" i="1"/>
  <c r="F27" i="1"/>
  <c r="G27" i="1"/>
  <c r="C27" i="1"/>
  <c r="O10" i="6" l="1"/>
  <c r="P10" i="6" s="1"/>
  <c r="K10" i="6"/>
  <c r="L10" i="6" s="1"/>
  <c r="H10" i="6" s="1"/>
  <c r="L13" i="1" s="1"/>
  <c r="I11" i="16" s="1"/>
  <c r="K23" i="22"/>
  <c r="L23" i="22" s="1"/>
  <c r="M23" i="22"/>
  <c r="N23" i="22" s="1"/>
  <c r="O23" i="22"/>
  <c r="P23" i="22" s="1"/>
  <c r="M24" i="16"/>
  <c r="R13" i="16"/>
  <c r="K35" i="1"/>
  <c r="H21" i="16"/>
  <c r="O22" i="22"/>
  <c r="K22" i="22"/>
  <c r="M22" i="22"/>
  <c r="H8" i="22"/>
  <c r="P8" i="6"/>
  <c r="O8" i="6"/>
  <c r="K8" i="6"/>
  <c r="L8" i="6"/>
  <c r="N8" i="6"/>
  <c r="M8" i="6"/>
  <c r="H31" i="1"/>
  <c r="H28" i="1"/>
  <c r="H29" i="1"/>
  <c r="I31" i="1"/>
  <c r="L26" i="16" s="1"/>
  <c r="H27" i="1"/>
  <c r="H32" i="1"/>
  <c r="H33" i="1"/>
  <c r="H34" i="1"/>
  <c r="H30" i="1"/>
  <c r="I28" i="1"/>
  <c r="I30" i="1"/>
  <c r="I33" i="1"/>
  <c r="L21" i="16" s="1"/>
  <c r="I29" i="1"/>
  <c r="G25" i="16" s="1"/>
  <c r="I34" i="1"/>
  <c r="I32" i="1"/>
  <c r="G20" i="16" s="1"/>
  <c r="I27" i="1"/>
  <c r="L27" i="16" s="1"/>
  <c r="H23" i="22" l="1"/>
  <c r="K13" i="1" s="1"/>
  <c r="H11" i="16" s="1"/>
  <c r="Q15" i="16"/>
  <c r="G26" i="16"/>
  <c r="K11" i="1"/>
  <c r="M11" i="16"/>
  <c r="H8" i="6"/>
  <c r="L11" i="1" s="1"/>
  <c r="N11" i="16" s="1"/>
  <c r="Q14" i="16"/>
  <c r="Q35" i="16"/>
  <c r="Q11" i="16"/>
  <c r="I39" i="1"/>
  <c r="M52" i="5"/>
  <c r="N52" i="5"/>
  <c r="O52" i="5"/>
  <c r="P52" i="5"/>
  <c r="Q52" i="5"/>
  <c r="R52" i="5"/>
  <c r="M39" i="5"/>
  <c r="N39" i="5"/>
  <c r="O39" i="5"/>
  <c r="P39" i="5"/>
  <c r="Q39" i="5"/>
  <c r="R39" i="5"/>
  <c r="M40" i="5"/>
  <c r="N40" i="5"/>
  <c r="O40" i="5"/>
  <c r="P40" i="5"/>
  <c r="Q40" i="5"/>
  <c r="R40" i="5"/>
  <c r="M41" i="5"/>
  <c r="N41" i="5"/>
  <c r="O41" i="5"/>
  <c r="P41" i="5"/>
  <c r="Q41" i="5"/>
  <c r="R41" i="5"/>
  <c r="M42" i="5"/>
  <c r="N42" i="5"/>
  <c r="O42" i="5"/>
  <c r="P42" i="5"/>
  <c r="Q42" i="5"/>
  <c r="R42" i="5"/>
  <c r="M43" i="5"/>
  <c r="N43" i="5"/>
  <c r="O43" i="5"/>
  <c r="P43" i="5"/>
  <c r="Q43" i="5"/>
  <c r="R43" i="5"/>
  <c r="M44" i="5"/>
  <c r="N44" i="5"/>
  <c r="O44" i="5"/>
  <c r="P44" i="5"/>
  <c r="Q44" i="5"/>
  <c r="R44" i="5"/>
  <c r="M45" i="5"/>
  <c r="N45" i="5"/>
  <c r="O45" i="5"/>
  <c r="P45" i="5"/>
  <c r="Q45" i="5"/>
  <c r="R45" i="5"/>
  <c r="M46" i="5"/>
  <c r="N46" i="5"/>
  <c r="O46" i="5"/>
  <c r="P46" i="5"/>
  <c r="Q46" i="5"/>
  <c r="R46" i="5"/>
  <c r="M47" i="5"/>
  <c r="N47" i="5"/>
  <c r="O47" i="5"/>
  <c r="P47" i="5"/>
  <c r="Q47" i="5"/>
  <c r="R47" i="5"/>
  <c r="M48" i="5"/>
  <c r="N48" i="5"/>
  <c r="O48" i="5"/>
  <c r="P48" i="5"/>
  <c r="Q48" i="5"/>
  <c r="R48" i="5"/>
  <c r="M49" i="5"/>
  <c r="N49" i="5"/>
  <c r="O49" i="5"/>
  <c r="P49" i="5"/>
  <c r="Q49" i="5"/>
  <c r="R49" i="5"/>
  <c r="M50" i="5"/>
  <c r="N50" i="5"/>
  <c r="O50" i="5"/>
  <c r="P50" i="5"/>
  <c r="Q50" i="5"/>
  <c r="R50" i="5"/>
  <c r="M51" i="5"/>
  <c r="N51" i="5"/>
  <c r="O51" i="5"/>
  <c r="P51" i="5"/>
  <c r="Q51" i="5"/>
  <c r="R51" i="5"/>
  <c r="N38" i="5"/>
  <c r="O38" i="5"/>
  <c r="P38" i="5"/>
  <c r="Q38" i="5"/>
  <c r="R38" i="5"/>
  <c r="M38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21" i="5"/>
  <c r="M22" i="5"/>
  <c r="N22" i="5"/>
  <c r="O22" i="5"/>
  <c r="P22" i="5"/>
  <c r="Q22" i="5"/>
  <c r="M23" i="5"/>
  <c r="N23" i="5"/>
  <c r="O23" i="5"/>
  <c r="P23" i="5"/>
  <c r="Q23" i="5"/>
  <c r="M24" i="5"/>
  <c r="N24" i="5"/>
  <c r="O24" i="5"/>
  <c r="P24" i="5"/>
  <c r="Q24" i="5"/>
  <c r="M25" i="5"/>
  <c r="N25" i="5"/>
  <c r="O25" i="5"/>
  <c r="P25" i="5"/>
  <c r="Q25" i="5"/>
  <c r="M26" i="5"/>
  <c r="N26" i="5"/>
  <c r="O26" i="5"/>
  <c r="P26" i="5"/>
  <c r="Q26" i="5"/>
  <c r="M27" i="5"/>
  <c r="N27" i="5"/>
  <c r="O27" i="5"/>
  <c r="P27" i="5"/>
  <c r="Q27" i="5"/>
  <c r="M28" i="5"/>
  <c r="N28" i="5"/>
  <c r="O28" i="5"/>
  <c r="P28" i="5"/>
  <c r="Q28" i="5"/>
  <c r="M29" i="5"/>
  <c r="N29" i="5"/>
  <c r="O29" i="5"/>
  <c r="P29" i="5"/>
  <c r="Q29" i="5"/>
  <c r="M30" i="5"/>
  <c r="N30" i="5"/>
  <c r="O30" i="5"/>
  <c r="P30" i="5"/>
  <c r="Q30" i="5"/>
  <c r="M31" i="5"/>
  <c r="N31" i="5"/>
  <c r="O31" i="5"/>
  <c r="P31" i="5"/>
  <c r="Q31" i="5"/>
  <c r="M32" i="5"/>
  <c r="N32" i="5"/>
  <c r="O32" i="5"/>
  <c r="P32" i="5"/>
  <c r="Q32" i="5"/>
  <c r="M33" i="5"/>
  <c r="N33" i="5"/>
  <c r="O33" i="5"/>
  <c r="P33" i="5"/>
  <c r="Q33" i="5"/>
  <c r="M34" i="5"/>
  <c r="N34" i="5"/>
  <c r="O34" i="5"/>
  <c r="P34" i="5"/>
  <c r="Q34" i="5"/>
  <c r="M35" i="5"/>
  <c r="N35" i="5"/>
  <c r="O35" i="5"/>
  <c r="P35" i="5"/>
  <c r="Q35" i="5"/>
  <c r="Q21" i="5"/>
  <c r="P21" i="5"/>
  <c r="N21" i="5"/>
  <c r="O21" i="5"/>
  <c r="M21" i="5"/>
  <c r="C56" i="5"/>
  <c r="D56" i="5"/>
  <c r="E56" i="5"/>
  <c r="F56" i="5"/>
  <c r="G56" i="5"/>
  <c r="C57" i="5"/>
  <c r="D57" i="5"/>
  <c r="E57" i="5"/>
  <c r="F57" i="5"/>
  <c r="G57" i="5"/>
  <c r="C58" i="5"/>
  <c r="D58" i="5"/>
  <c r="E58" i="5"/>
  <c r="F58" i="5"/>
  <c r="G58" i="5"/>
  <c r="C59" i="5"/>
  <c r="D59" i="5"/>
  <c r="E59" i="5"/>
  <c r="F59" i="5"/>
  <c r="G59" i="5"/>
  <c r="C60" i="5"/>
  <c r="D60" i="5"/>
  <c r="E60" i="5"/>
  <c r="F60" i="5"/>
  <c r="G60" i="5"/>
  <c r="C61" i="5"/>
  <c r="D61" i="5"/>
  <c r="E61" i="5"/>
  <c r="F61" i="5"/>
  <c r="G61" i="5"/>
  <c r="C62" i="5"/>
  <c r="D62" i="5"/>
  <c r="E62" i="5"/>
  <c r="F62" i="5"/>
  <c r="G62" i="5"/>
  <c r="C63" i="5"/>
  <c r="D63" i="5"/>
  <c r="E63" i="5"/>
  <c r="F63" i="5"/>
  <c r="G63" i="5"/>
  <c r="C64" i="5"/>
  <c r="D64" i="5"/>
  <c r="E64" i="5"/>
  <c r="F64" i="5"/>
  <c r="G64" i="5"/>
  <c r="C65" i="5"/>
  <c r="D65" i="5"/>
  <c r="E65" i="5"/>
  <c r="F65" i="5"/>
  <c r="G65" i="5"/>
  <c r="C66" i="5"/>
  <c r="D66" i="5"/>
  <c r="E66" i="5"/>
  <c r="F66" i="5"/>
  <c r="G66" i="5"/>
  <c r="C67" i="5"/>
  <c r="D67" i="5"/>
  <c r="E67" i="5"/>
  <c r="F67" i="5"/>
  <c r="G67" i="5"/>
  <c r="C68" i="5"/>
  <c r="D68" i="5"/>
  <c r="E68" i="5"/>
  <c r="F68" i="5"/>
  <c r="G68" i="5"/>
  <c r="C69" i="5"/>
  <c r="D69" i="5"/>
  <c r="E69" i="5"/>
  <c r="F69" i="5"/>
  <c r="G69" i="5"/>
  <c r="D55" i="5"/>
  <c r="E55" i="5"/>
  <c r="F55" i="5"/>
  <c r="G55" i="5"/>
  <c r="C55" i="5"/>
  <c r="C39" i="5"/>
  <c r="D39" i="5"/>
  <c r="E39" i="5"/>
  <c r="F39" i="5"/>
  <c r="G39" i="5"/>
  <c r="C40" i="5"/>
  <c r="D40" i="5"/>
  <c r="E40" i="5"/>
  <c r="F40" i="5"/>
  <c r="G40" i="5"/>
  <c r="C41" i="5"/>
  <c r="D41" i="5"/>
  <c r="E41" i="5"/>
  <c r="F41" i="5"/>
  <c r="G41" i="5"/>
  <c r="C42" i="5"/>
  <c r="D42" i="5"/>
  <c r="E42" i="5"/>
  <c r="F42" i="5"/>
  <c r="G42" i="5"/>
  <c r="C43" i="5"/>
  <c r="D43" i="5"/>
  <c r="E43" i="5"/>
  <c r="F43" i="5"/>
  <c r="G43" i="5"/>
  <c r="C44" i="5"/>
  <c r="D44" i="5"/>
  <c r="E44" i="5"/>
  <c r="F44" i="5"/>
  <c r="G44" i="5"/>
  <c r="C45" i="5"/>
  <c r="D45" i="5"/>
  <c r="E45" i="5"/>
  <c r="F45" i="5"/>
  <c r="G45" i="5"/>
  <c r="C46" i="5"/>
  <c r="D46" i="5"/>
  <c r="E46" i="5"/>
  <c r="F46" i="5"/>
  <c r="G46" i="5"/>
  <c r="C47" i="5"/>
  <c r="D47" i="5"/>
  <c r="E47" i="5"/>
  <c r="F47" i="5"/>
  <c r="G47" i="5"/>
  <c r="C48" i="5"/>
  <c r="D48" i="5"/>
  <c r="E48" i="5"/>
  <c r="F48" i="5"/>
  <c r="G48" i="5"/>
  <c r="C49" i="5"/>
  <c r="D49" i="5"/>
  <c r="E49" i="5"/>
  <c r="F49" i="5"/>
  <c r="G49" i="5"/>
  <c r="C50" i="5"/>
  <c r="D50" i="5"/>
  <c r="E50" i="5"/>
  <c r="F50" i="5"/>
  <c r="G50" i="5"/>
  <c r="C51" i="5"/>
  <c r="D51" i="5"/>
  <c r="E51" i="5"/>
  <c r="F51" i="5"/>
  <c r="G51" i="5"/>
  <c r="C52" i="5"/>
  <c r="D52" i="5"/>
  <c r="E52" i="5"/>
  <c r="F52" i="5"/>
  <c r="G52" i="5"/>
  <c r="D38" i="5"/>
  <c r="E38" i="5"/>
  <c r="F38" i="5"/>
  <c r="G38" i="5"/>
  <c r="C38" i="5"/>
  <c r="C22" i="5"/>
  <c r="D22" i="5"/>
  <c r="E22" i="5"/>
  <c r="F22" i="5"/>
  <c r="G22" i="5"/>
  <c r="H22" i="5"/>
  <c r="C23" i="5"/>
  <c r="D23" i="5"/>
  <c r="E23" i="5"/>
  <c r="F23" i="5"/>
  <c r="G23" i="5"/>
  <c r="H23" i="5"/>
  <c r="C24" i="5"/>
  <c r="D24" i="5"/>
  <c r="E24" i="5"/>
  <c r="F24" i="5"/>
  <c r="G24" i="5"/>
  <c r="H24" i="5"/>
  <c r="C25" i="5"/>
  <c r="D25" i="5"/>
  <c r="E25" i="5"/>
  <c r="F25" i="5"/>
  <c r="G25" i="5"/>
  <c r="H25" i="5"/>
  <c r="C26" i="5"/>
  <c r="D26" i="5"/>
  <c r="E26" i="5"/>
  <c r="F26" i="5"/>
  <c r="G26" i="5"/>
  <c r="H26" i="5"/>
  <c r="C27" i="5"/>
  <c r="D27" i="5"/>
  <c r="E27" i="5"/>
  <c r="F27" i="5"/>
  <c r="G27" i="5"/>
  <c r="H27" i="5"/>
  <c r="C28" i="5"/>
  <c r="D28" i="5"/>
  <c r="E28" i="5"/>
  <c r="F28" i="5"/>
  <c r="G28" i="5"/>
  <c r="H28" i="5"/>
  <c r="C29" i="5"/>
  <c r="D29" i="5"/>
  <c r="E29" i="5"/>
  <c r="F29" i="5"/>
  <c r="G29" i="5"/>
  <c r="H29" i="5"/>
  <c r="C30" i="5"/>
  <c r="D30" i="5"/>
  <c r="E30" i="5"/>
  <c r="F30" i="5"/>
  <c r="G30" i="5"/>
  <c r="H30" i="5"/>
  <c r="C31" i="5"/>
  <c r="D31" i="5"/>
  <c r="E31" i="5"/>
  <c r="F31" i="5"/>
  <c r="G31" i="5"/>
  <c r="H31" i="5"/>
  <c r="C32" i="5"/>
  <c r="D32" i="5"/>
  <c r="E32" i="5"/>
  <c r="F32" i="5"/>
  <c r="G32" i="5"/>
  <c r="H32" i="5"/>
  <c r="C33" i="5"/>
  <c r="D33" i="5"/>
  <c r="E33" i="5"/>
  <c r="F33" i="5"/>
  <c r="G33" i="5"/>
  <c r="H33" i="5"/>
  <c r="C34" i="5"/>
  <c r="D34" i="5"/>
  <c r="E34" i="5"/>
  <c r="F34" i="5"/>
  <c r="G34" i="5"/>
  <c r="H34" i="5"/>
  <c r="C35" i="5"/>
  <c r="D35" i="5"/>
  <c r="E35" i="5"/>
  <c r="F35" i="5"/>
  <c r="G35" i="5"/>
  <c r="H35" i="5"/>
  <c r="H21" i="5"/>
  <c r="D21" i="5"/>
  <c r="E21" i="5"/>
  <c r="F21" i="5"/>
  <c r="G21" i="5"/>
  <c r="C21" i="5"/>
  <c r="T21" i="1" l="1"/>
  <c r="G21" i="1" s="1"/>
  <c r="S21" i="1"/>
  <c r="F21" i="1" s="1"/>
  <c r="H21" i="1" l="1"/>
  <c r="R20" i="1"/>
  <c r="Q20" i="1"/>
  <c r="P20" i="1"/>
  <c r="K10" i="4"/>
  <c r="L10" i="4"/>
  <c r="M10" i="4"/>
  <c r="N10" i="4"/>
  <c r="O10" i="4"/>
  <c r="K11" i="4"/>
  <c r="L11" i="4"/>
  <c r="M11" i="4"/>
  <c r="N11" i="4"/>
  <c r="O11" i="4"/>
  <c r="K12" i="4"/>
  <c r="L12" i="4"/>
  <c r="M12" i="4"/>
  <c r="N12" i="4"/>
  <c r="O12" i="4"/>
  <c r="K13" i="4"/>
  <c r="L13" i="4"/>
  <c r="M13" i="4"/>
  <c r="N13" i="4"/>
  <c r="O13" i="4"/>
  <c r="K14" i="4"/>
  <c r="L14" i="4"/>
  <c r="M14" i="4"/>
  <c r="N14" i="4"/>
  <c r="O14" i="4"/>
  <c r="K15" i="4"/>
  <c r="L15" i="4"/>
  <c r="M15" i="4"/>
  <c r="N15" i="4"/>
  <c r="O15" i="4"/>
  <c r="K16" i="4"/>
  <c r="L16" i="4"/>
  <c r="M16" i="4"/>
  <c r="N16" i="4"/>
  <c r="O16" i="4"/>
  <c r="K17" i="4"/>
  <c r="L17" i="4"/>
  <c r="M17" i="4"/>
  <c r="N17" i="4"/>
  <c r="O17" i="4"/>
  <c r="K18" i="4"/>
  <c r="L18" i="4"/>
  <c r="M18" i="4"/>
  <c r="N18" i="4"/>
  <c r="O18" i="4"/>
  <c r="K19" i="4"/>
  <c r="L19" i="4"/>
  <c r="M19" i="4"/>
  <c r="N19" i="4"/>
  <c r="O19" i="4"/>
  <c r="K20" i="4"/>
  <c r="L20" i="4"/>
  <c r="M20" i="4"/>
  <c r="N20" i="4"/>
  <c r="O20" i="4"/>
  <c r="K21" i="4"/>
  <c r="L21" i="4"/>
  <c r="M21" i="4"/>
  <c r="N21" i="4"/>
  <c r="O21" i="4"/>
  <c r="K22" i="4"/>
  <c r="L22" i="4"/>
  <c r="M22" i="4"/>
  <c r="N22" i="4"/>
  <c r="O22" i="4"/>
  <c r="K23" i="4"/>
  <c r="L23" i="4"/>
  <c r="M23" i="4"/>
  <c r="N23" i="4"/>
  <c r="O23" i="4"/>
  <c r="L9" i="4"/>
  <c r="M9" i="4"/>
  <c r="N9" i="4"/>
  <c r="O9" i="4"/>
  <c r="K9" i="4"/>
  <c r="R21" i="1" l="1"/>
  <c r="Q21" i="1"/>
  <c r="P21" i="1"/>
  <c r="D25" i="1" l="1"/>
  <c r="E25" i="1"/>
  <c r="C25" i="1"/>
  <c r="E26" i="1"/>
  <c r="C26" i="1" l="1"/>
  <c r="D26" i="1"/>
  <c r="I25" i="1"/>
  <c r="R24" i="1" l="1"/>
  <c r="Q24" i="1"/>
  <c r="P24" i="1"/>
  <c r="R23" i="1"/>
  <c r="Q23" i="1"/>
  <c r="Q22" i="1"/>
  <c r="R18" i="1"/>
  <c r="T18" i="1"/>
  <c r="G18" i="1" s="1"/>
  <c r="S18" i="1"/>
  <c r="F18" i="1" s="1"/>
  <c r="Q18" i="1"/>
  <c r="H18" i="1" l="1"/>
  <c r="E24" i="1"/>
  <c r="E22" i="1"/>
  <c r="E23" i="1"/>
  <c r="D22" i="1"/>
  <c r="D24" i="1"/>
  <c r="D23" i="1"/>
  <c r="C24" i="1"/>
  <c r="C23" i="1"/>
  <c r="C22" i="1"/>
  <c r="E17" i="1"/>
  <c r="E21" i="1"/>
  <c r="E20" i="1"/>
  <c r="E19" i="1"/>
  <c r="E18" i="1"/>
  <c r="D21" i="1"/>
  <c r="D20" i="1"/>
  <c r="D17" i="1"/>
  <c r="D19" i="1"/>
  <c r="D18" i="1"/>
  <c r="C20" i="1"/>
  <c r="C18" i="1"/>
  <c r="C17" i="1"/>
  <c r="C21" i="1"/>
  <c r="C19" i="1"/>
  <c r="E14" i="1"/>
  <c r="E16" i="1"/>
  <c r="E15" i="1"/>
  <c r="D14" i="1"/>
  <c r="D16" i="1"/>
  <c r="D15" i="1"/>
  <c r="C16" i="1"/>
  <c r="C14" i="1"/>
  <c r="C15" i="1"/>
  <c r="D12" i="1"/>
  <c r="D10" i="1"/>
  <c r="E10" i="1"/>
  <c r="E12" i="1"/>
  <c r="C12" i="1"/>
  <c r="C10" i="1"/>
  <c r="I10" i="1" l="1"/>
  <c r="D7" i="22" s="1"/>
  <c r="G7" i="22" s="1"/>
  <c r="I12" i="1"/>
  <c r="D9" i="22" s="1"/>
  <c r="I21" i="1"/>
  <c r="I23" i="1"/>
  <c r="I26" i="1"/>
  <c r="I24" i="1"/>
  <c r="D19" i="22" s="1"/>
  <c r="I20" i="1"/>
  <c r="I18" i="1"/>
  <c r="I22" i="1"/>
  <c r="I19" i="1"/>
  <c r="I17" i="1"/>
  <c r="I16" i="1"/>
  <c r="D12" i="22" s="1"/>
  <c r="I15" i="1"/>
  <c r="I14" i="1"/>
  <c r="D17" i="22" l="1"/>
  <c r="E17" i="22" s="1"/>
  <c r="K17" i="22" s="1"/>
  <c r="L17" i="22" s="1"/>
  <c r="D17" i="6"/>
  <c r="D11" i="22"/>
  <c r="G11" i="22" s="1"/>
  <c r="G13" i="16"/>
  <c r="D16" i="22"/>
  <c r="F16" i="22" s="1"/>
  <c r="G19" i="16"/>
  <c r="D14" i="22"/>
  <c r="G14" i="22" s="1"/>
  <c r="G15" i="16"/>
  <c r="D13" i="22"/>
  <c r="F13" i="22" s="1"/>
  <c r="G14" i="16"/>
  <c r="G17" i="16"/>
  <c r="D18" i="22"/>
  <c r="E18" i="22" s="1"/>
  <c r="G18" i="16"/>
  <c r="D10" i="22"/>
  <c r="E10" i="22" s="1"/>
  <c r="G12" i="16"/>
  <c r="D15" i="22"/>
  <c r="E15" i="22" s="1"/>
  <c r="G16" i="16"/>
  <c r="L10" i="16"/>
  <c r="E7" i="22"/>
  <c r="M7" i="22" s="1"/>
  <c r="F7" i="22"/>
  <c r="F19" i="22"/>
  <c r="E19" i="22"/>
  <c r="G12" i="22"/>
  <c r="F12" i="22"/>
  <c r="E12" i="22"/>
  <c r="G9" i="22"/>
  <c r="F9" i="22"/>
  <c r="E9" i="22"/>
  <c r="L12" i="16"/>
  <c r="G10" i="16"/>
  <c r="L14" i="16"/>
  <c r="L16" i="16"/>
  <c r="Q10" i="16" s="1"/>
  <c r="L20" i="16"/>
  <c r="Q17" i="16" s="1"/>
  <c r="L18" i="16"/>
  <c r="D13" i="6"/>
  <c r="F13" i="6" s="1"/>
  <c r="L13" i="16"/>
  <c r="L15" i="16"/>
  <c r="L19" i="16"/>
  <c r="Q16" i="16" s="1"/>
  <c r="L17" i="16"/>
  <c r="G47" i="16"/>
  <c r="L44" i="16" s="1"/>
  <c r="D14" i="6"/>
  <c r="G14" i="6" s="1"/>
  <c r="D7" i="6"/>
  <c r="G7" i="6" s="1"/>
  <c r="L33" i="16"/>
  <c r="D11" i="6"/>
  <c r="G11" i="6" s="1"/>
  <c r="G33" i="16"/>
  <c r="D16" i="6"/>
  <c r="F16" i="6" s="1"/>
  <c r="G44" i="16"/>
  <c r="L46" i="16" s="1"/>
  <c r="D12" i="6"/>
  <c r="F12" i="6" s="1"/>
  <c r="G34" i="16"/>
  <c r="D15" i="6"/>
  <c r="F15" i="6" s="1"/>
  <c r="G35" i="16"/>
  <c r="D9" i="6"/>
  <c r="G9" i="6" s="1"/>
  <c r="G37" i="16"/>
  <c r="G56" i="16" s="1"/>
  <c r="E16" i="6"/>
  <c r="F17" i="22" l="1"/>
  <c r="N17" i="22" s="1"/>
  <c r="M17" i="22"/>
  <c r="F17" i="6"/>
  <c r="N17" i="6" s="1"/>
  <c r="E17" i="6"/>
  <c r="G17" i="6"/>
  <c r="F10" i="22"/>
  <c r="F11" i="22"/>
  <c r="G10" i="22"/>
  <c r="H17" i="22"/>
  <c r="K20" i="1" s="1"/>
  <c r="H17" i="16" s="1"/>
  <c r="M16" i="16" s="1"/>
  <c r="H47" i="16" s="1"/>
  <c r="M44" i="16" s="1"/>
  <c r="E14" i="22"/>
  <c r="N14" i="22" s="1"/>
  <c r="F14" i="22"/>
  <c r="E11" i="22"/>
  <c r="N11" i="22" s="1"/>
  <c r="P7" i="22"/>
  <c r="Q12" i="16"/>
  <c r="L50" i="16"/>
  <c r="G13" i="22"/>
  <c r="F15" i="22"/>
  <c r="G15" i="22"/>
  <c r="F18" i="22"/>
  <c r="E13" i="22"/>
  <c r="O13" i="22" s="1"/>
  <c r="E16" i="22"/>
  <c r="K16" i="22" s="1"/>
  <c r="L16" i="22" s="1"/>
  <c r="L7" i="22"/>
  <c r="N7" i="22"/>
  <c r="K7" i="22"/>
  <c r="O7" i="22"/>
  <c r="M18" i="22"/>
  <c r="N18" i="22" s="1"/>
  <c r="O18" i="22"/>
  <c r="P18" i="22" s="1"/>
  <c r="K18" i="22"/>
  <c r="L18" i="22" s="1"/>
  <c r="M19" i="22"/>
  <c r="N19" i="22" s="1"/>
  <c r="K19" i="22"/>
  <c r="L19" i="22" s="1"/>
  <c r="O19" i="22"/>
  <c r="P19" i="22" s="1"/>
  <c r="K10" i="22"/>
  <c r="M10" i="22"/>
  <c r="O10" i="22"/>
  <c r="P10" i="22"/>
  <c r="L10" i="22"/>
  <c r="N10" i="22"/>
  <c r="P15" i="22"/>
  <c r="M15" i="22"/>
  <c r="L15" i="22"/>
  <c r="N15" i="22"/>
  <c r="K15" i="22"/>
  <c r="O15" i="22"/>
  <c r="N9" i="22"/>
  <c r="K9" i="22"/>
  <c r="O9" i="22"/>
  <c r="L9" i="22"/>
  <c r="P9" i="22"/>
  <c r="M9" i="22"/>
  <c r="O12" i="22"/>
  <c r="L12" i="22"/>
  <c r="P12" i="22"/>
  <c r="M12" i="22"/>
  <c r="N12" i="22"/>
  <c r="K12" i="22"/>
  <c r="P11" i="22"/>
  <c r="E13" i="6"/>
  <c r="O13" i="6" s="1"/>
  <c r="G13" i="6"/>
  <c r="F7" i="6"/>
  <c r="E14" i="6"/>
  <c r="N14" i="6" s="1"/>
  <c r="F14" i="6"/>
  <c r="G16" i="6"/>
  <c r="E7" i="6"/>
  <c r="O7" i="6" s="1"/>
  <c r="E15" i="6"/>
  <c r="M15" i="6" s="1"/>
  <c r="G15" i="6"/>
  <c r="E9" i="6"/>
  <c r="K9" i="6" s="1"/>
  <c r="F9" i="6"/>
  <c r="G12" i="6"/>
  <c r="E11" i="6"/>
  <c r="P11" i="6" s="1"/>
  <c r="E12" i="6"/>
  <c r="O12" i="6" s="1"/>
  <c r="F11" i="6"/>
  <c r="L34" i="16"/>
  <c r="G38" i="16"/>
  <c r="P16" i="6"/>
  <c r="L16" i="6"/>
  <c r="O16" i="6"/>
  <c r="K16" i="6"/>
  <c r="M16" i="6"/>
  <c r="N16" i="6"/>
  <c r="M11" i="22" l="1"/>
  <c r="M17" i="6"/>
  <c r="O17" i="6"/>
  <c r="P17" i="6" s="1"/>
  <c r="K17" i="6"/>
  <c r="L17" i="6" s="1"/>
  <c r="H17" i="6" s="1"/>
  <c r="L11" i="22"/>
  <c r="H11" i="22" s="1"/>
  <c r="O11" i="22"/>
  <c r="K11" i="22"/>
  <c r="P13" i="22"/>
  <c r="K14" i="22"/>
  <c r="O14" i="22"/>
  <c r="P14" i="22"/>
  <c r="L14" i="22"/>
  <c r="H14" i="22" s="1"/>
  <c r="R10" i="16"/>
  <c r="M14" i="22"/>
  <c r="M16" i="22"/>
  <c r="N16" i="22" s="1"/>
  <c r="H16" i="22" s="1"/>
  <c r="O16" i="22"/>
  <c r="P16" i="22" s="1"/>
  <c r="K13" i="22"/>
  <c r="M13" i="22"/>
  <c r="N13" i="22"/>
  <c r="L13" i="22"/>
  <c r="H7" i="22"/>
  <c r="K10" i="1" s="1"/>
  <c r="H19" i="22"/>
  <c r="H10" i="22"/>
  <c r="H18" i="22"/>
  <c r="H12" i="22"/>
  <c r="H9" i="22"/>
  <c r="H15" i="22"/>
  <c r="H16" i="6"/>
  <c r="N13" i="6"/>
  <c r="L13" i="6"/>
  <c r="P13" i="6"/>
  <c r="K13" i="6"/>
  <c r="M13" i="6"/>
  <c r="P14" i="6"/>
  <c r="O14" i="6"/>
  <c r="K14" i="6"/>
  <c r="M14" i="6"/>
  <c r="L14" i="6"/>
  <c r="H14" i="6" s="1"/>
  <c r="P9" i="6"/>
  <c r="N7" i="6"/>
  <c r="L7" i="6"/>
  <c r="K7" i="6"/>
  <c r="M7" i="6"/>
  <c r="P7" i="6"/>
  <c r="O15" i="6"/>
  <c r="L15" i="6"/>
  <c r="N15" i="6"/>
  <c r="P15" i="6"/>
  <c r="K15" i="6"/>
  <c r="L12" i="6"/>
  <c r="O9" i="6"/>
  <c r="N12" i="6"/>
  <c r="N9" i="6"/>
  <c r="M12" i="6"/>
  <c r="M9" i="6"/>
  <c r="K12" i="6"/>
  <c r="L9" i="6"/>
  <c r="M11" i="6"/>
  <c r="K11" i="6"/>
  <c r="N11" i="6"/>
  <c r="L11" i="6"/>
  <c r="O11" i="6"/>
  <c r="P12" i="6"/>
  <c r="L20" i="1" l="1"/>
  <c r="I17" i="16"/>
  <c r="H13" i="22"/>
  <c r="M10" i="16"/>
  <c r="M33" i="16" s="1"/>
  <c r="K24" i="1"/>
  <c r="M20" i="16"/>
  <c r="R17" i="16" s="1"/>
  <c r="K16" i="1"/>
  <c r="M13" i="16"/>
  <c r="K26" i="1"/>
  <c r="H19" i="16"/>
  <c r="K21" i="1"/>
  <c r="H18" i="16"/>
  <c r="K19" i="1"/>
  <c r="H16" i="16"/>
  <c r="K18" i="1"/>
  <c r="H15" i="16"/>
  <c r="K15" i="1"/>
  <c r="H13" i="16"/>
  <c r="H34" i="16" s="1"/>
  <c r="K12" i="1"/>
  <c r="H10" i="16"/>
  <c r="M34" i="16" s="1"/>
  <c r="H37" i="16" s="1"/>
  <c r="H7" i="6"/>
  <c r="L10" i="1" s="1"/>
  <c r="N10" i="16" s="1"/>
  <c r="N33" i="16" s="1"/>
  <c r="H9" i="6"/>
  <c r="H12" i="6"/>
  <c r="I13" i="16" s="1"/>
  <c r="I34" i="16" s="1"/>
  <c r="H11" i="6"/>
  <c r="I12" i="16" s="1"/>
  <c r="I33" i="16" s="1"/>
  <c r="H15" i="6"/>
  <c r="H13" i="6"/>
  <c r="N13" i="16" s="1"/>
  <c r="I14" i="16"/>
  <c r="N12" i="16"/>
  <c r="N46" i="16" s="1"/>
  <c r="I16" i="16"/>
  <c r="L19" i="1"/>
  <c r="N16" i="16" l="1"/>
  <c r="S10" i="16" s="1"/>
  <c r="I47" i="16"/>
  <c r="N44" i="16" s="1"/>
  <c r="H38" i="16"/>
  <c r="H56" i="16"/>
  <c r="M15" i="16"/>
  <c r="H35" i="16"/>
  <c r="M12" i="16"/>
  <c r="M46" i="16"/>
  <c r="H44" i="16" s="1"/>
  <c r="M17" i="16"/>
  <c r="M50" i="16" s="1"/>
  <c r="R12" i="16"/>
  <c r="L14" i="1"/>
  <c r="L16" i="1"/>
  <c r="N14" i="16"/>
  <c r="L17" i="1"/>
  <c r="N15" i="16"/>
  <c r="I15" i="16"/>
  <c r="I35" i="16" s="1"/>
  <c r="L12" i="1"/>
  <c r="I10" i="16"/>
  <c r="L18" i="1"/>
  <c r="L15" i="1"/>
  <c r="I37" i="16" l="1"/>
  <c r="I56" i="16" s="1"/>
  <c r="N34" i="16"/>
</calcChain>
</file>

<file path=xl/sharedStrings.xml><?xml version="1.0" encoding="utf-8"?>
<sst xmlns="http://schemas.openxmlformats.org/spreadsheetml/2006/main" count="1173" uniqueCount="552">
  <si>
    <t>국어</t>
    <phoneticPr fontId="1" type="noConversion"/>
  </si>
  <si>
    <t>백분위점수</t>
    <phoneticPr fontId="1" type="noConversion"/>
  </si>
  <si>
    <t>백분위</t>
  </si>
  <si>
    <t>백분위</t>
    <phoneticPr fontId="1" type="noConversion"/>
  </si>
  <si>
    <t>표준점수</t>
  </si>
  <si>
    <t>표준점수</t>
    <phoneticPr fontId="1" type="noConversion"/>
  </si>
  <si>
    <t>수학</t>
    <phoneticPr fontId="1" type="noConversion"/>
  </si>
  <si>
    <t>연세대</t>
    <phoneticPr fontId="1" type="noConversion"/>
  </si>
  <si>
    <t>고려대우선</t>
    <phoneticPr fontId="1" type="noConversion"/>
  </si>
  <si>
    <t>영어B</t>
  </si>
  <si>
    <t>국어A</t>
  </si>
  <si>
    <t>수학B</t>
  </si>
  <si>
    <t>변환</t>
    <phoneticPr fontId="1" type="noConversion"/>
  </si>
  <si>
    <t>등급</t>
  </si>
  <si>
    <t>상위누적</t>
  </si>
  <si>
    <t>과탐1</t>
    <phoneticPr fontId="1" type="noConversion"/>
  </si>
  <si>
    <t>과탐2</t>
    <phoneticPr fontId="1" type="noConversion"/>
  </si>
  <si>
    <t>고려대일반</t>
    <phoneticPr fontId="1" type="noConversion"/>
  </si>
  <si>
    <t>서강대</t>
    <phoneticPr fontId="1" type="noConversion"/>
  </si>
  <si>
    <t>성균관대우선</t>
    <phoneticPr fontId="1" type="noConversion"/>
  </si>
  <si>
    <t>성균관대우선</t>
    <phoneticPr fontId="1" type="noConversion"/>
  </si>
  <si>
    <t>성균관대일반</t>
    <phoneticPr fontId="1" type="noConversion"/>
  </si>
  <si>
    <t>한양대</t>
    <phoneticPr fontId="1" type="noConversion"/>
  </si>
  <si>
    <t>시립대 일반</t>
    <phoneticPr fontId="1" type="noConversion"/>
  </si>
  <si>
    <t>합</t>
    <phoneticPr fontId="1" type="noConversion"/>
  </si>
  <si>
    <t>합/만점합</t>
    <phoneticPr fontId="1" type="noConversion"/>
  </si>
  <si>
    <t>합</t>
    <phoneticPr fontId="1" type="noConversion"/>
  </si>
  <si>
    <t>합</t>
    <phoneticPr fontId="1" type="noConversion"/>
  </si>
  <si>
    <t>합</t>
    <phoneticPr fontId="1" type="noConversion"/>
  </si>
  <si>
    <t xml:space="preserve">합(표점/만점) </t>
    <phoneticPr fontId="1" type="noConversion"/>
  </si>
  <si>
    <t>과탐</t>
  </si>
  <si>
    <t>카이스트</t>
    <phoneticPr fontId="1" type="noConversion"/>
  </si>
  <si>
    <t>합</t>
    <phoneticPr fontId="1" type="noConversion"/>
  </si>
  <si>
    <t>변표</t>
    <phoneticPr fontId="1" type="noConversion"/>
  </si>
  <si>
    <t>표준점수</t>
    <phoneticPr fontId="1" type="noConversion"/>
  </si>
  <si>
    <t>합/만점합</t>
    <phoneticPr fontId="1" type="noConversion"/>
  </si>
  <si>
    <t>국어</t>
  </si>
  <si>
    <t>수학</t>
  </si>
  <si>
    <t>영어</t>
  </si>
  <si>
    <t>과학탐구1</t>
  </si>
  <si>
    <t>과학탐구2</t>
  </si>
  <si>
    <t>서울대</t>
  </si>
  <si>
    <t>연세대</t>
  </si>
  <si>
    <t>고려대우선</t>
  </si>
  <si>
    <t>고려대일반</t>
  </si>
  <si>
    <t>서강대</t>
  </si>
  <si>
    <t>성균관대우선</t>
  </si>
  <si>
    <t>성균관대일반</t>
  </si>
  <si>
    <t>한양대</t>
  </si>
  <si>
    <t>중앙대</t>
  </si>
  <si>
    <t>경희대</t>
  </si>
  <si>
    <t>시립대 물리우선</t>
  </si>
  <si>
    <t>시립대 우선</t>
  </si>
  <si>
    <t>시립대 일반</t>
  </si>
  <si>
    <t>카이스트</t>
  </si>
  <si>
    <t>이화여대</t>
  </si>
  <si>
    <t>과탐1</t>
  </si>
  <si>
    <t>과탐2</t>
  </si>
  <si>
    <t>합계</t>
  </si>
  <si>
    <t>시립대 물리 우선</t>
  </si>
  <si>
    <t>시립대 자연 우선</t>
  </si>
  <si>
    <t>만점대비</t>
    <phoneticPr fontId="1" type="noConversion"/>
  </si>
  <si>
    <t>서울대</t>
    <phoneticPr fontId="1" type="noConversion"/>
  </si>
  <si>
    <t>이론치</t>
    <phoneticPr fontId="1" type="noConversion"/>
  </si>
  <si>
    <t>합계</t>
    <phoneticPr fontId="1" type="noConversion"/>
  </si>
  <si>
    <t>수학기준</t>
    <phoneticPr fontId="1" type="noConversion"/>
  </si>
  <si>
    <t>이론치/수학기준</t>
    <phoneticPr fontId="1" type="noConversion"/>
  </si>
  <si>
    <t>백분위</t>
    <phoneticPr fontId="1" type="noConversion"/>
  </si>
  <si>
    <t>환산점수</t>
    <phoneticPr fontId="1" type="noConversion"/>
  </si>
  <si>
    <t>만점기준</t>
    <phoneticPr fontId="1" type="noConversion"/>
  </si>
  <si>
    <t>유니스트</t>
    <phoneticPr fontId="1" type="noConversion"/>
  </si>
  <si>
    <t>합</t>
    <phoneticPr fontId="1" type="noConversion"/>
  </si>
  <si>
    <t>표준점수</t>
    <phoneticPr fontId="1" type="noConversion"/>
  </si>
  <si>
    <t>GIST</t>
    <phoneticPr fontId="1" type="noConversion"/>
  </si>
  <si>
    <t>합</t>
    <phoneticPr fontId="1" type="noConversion"/>
  </si>
  <si>
    <t>합</t>
    <phoneticPr fontId="1" type="noConversion"/>
  </si>
  <si>
    <t>표준점수</t>
    <phoneticPr fontId="1" type="noConversion"/>
  </si>
  <si>
    <t>아주대 가군</t>
    <phoneticPr fontId="1" type="noConversion"/>
  </si>
  <si>
    <t>표+백</t>
    <phoneticPr fontId="1" type="noConversion"/>
  </si>
  <si>
    <t>아주대 다군</t>
    <phoneticPr fontId="1" type="noConversion"/>
  </si>
  <si>
    <t>국수영</t>
  </si>
  <si>
    <t>수영과2</t>
  </si>
  <si>
    <t>수과2</t>
  </si>
  <si>
    <t>산출점수</t>
    <phoneticPr fontId="1" type="noConversion"/>
  </si>
  <si>
    <t>누적</t>
    <phoneticPr fontId="10" type="noConversion"/>
  </si>
  <si>
    <t>국수영과2</t>
  </si>
  <si>
    <t>총점</t>
  </si>
  <si>
    <t>전국석차</t>
  </si>
  <si>
    <r>
      <t>B형백분위</t>
    </r>
    <r>
      <rPr>
        <b/>
        <sz val="9"/>
        <color rgb="FFFF4600"/>
        <rFont val="돋움"/>
        <family val="3"/>
        <charset val="129"/>
      </rPr>
      <t>*</t>
    </r>
  </si>
  <si>
    <t>고려대</t>
  </si>
  <si>
    <r>
      <t>고려대</t>
    </r>
    <r>
      <rPr>
        <b/>
        <sz val="8"/>
        <color rgb="FFDFB78C"/>
        <rFont val="돋움"/>
        <family val="3"/>
        <charset val="129"/>
      </rPr>
      <t>우선</t>
    </r>
  </si>
  <si>
    <r>
      <t>성균관</t>
    </r>
    <r>
      <rPr>
        <b/>
        <sz val="8"/>
        <color rgb="FFDFB78C"/>
        <rFont val="돋움"/>
        <family val="3"/>
        <charset val="129"/>
      </rPr>
      <t>우선</t>
    </r>
  </si>
  <si>
    <r>
      <t>성균관</t>
    </r>
    <r>
      <rPr>
        <b/>
        <sz val="8"/>
        <color rgb="FFDFB78C"/>
        <rFont val="돋움"/>
        <family val="3"/>
        <charset val="129"/>
      </rPr>
      <t>일반</t>
    </r>
  </si>
  <si>
    <t>영어B</t>
    <phoneticPr fontId="1" type="noConversion"/>
  </si>
  <si>
    <t>만든사람</t>
    <phoneticPr fontId="1" type="noConversion"/>
  </si>
  <si>
    <t>오르비스옵티무스</t>
    <phoneticPr fontId="1" type="noConversion"/>
  </si>
  <si>
    <t>물량공급</t>
    <phoneticPr fontId="1" type="noConversion"/>
  </si>
  <si>
    <t>환산점수</t>
    <phoneticPr fontId="1" type="noConversion"/>
  </si>
  <si>
    <t>합</t>
    <phoneticPr fontId="1" type="noConversion"/>
  </si>
  <si>
    <t>도움을주신분들</t>
    <phoneticPr fontId="1" type="noConversion"/>
  </si>
  <si>
    <t>엄마,아빠</t>
    <phoneticPr fontId="1" type="noConversion"/>
  </si>
  <si>
    <t>오르비 Fait, 페로즈(이유섭), 해원(난만한), 모래다리(도크고양이) 등</t>
    <phoneticPr fontId="1" type="noConversion"/>
  </si>
  <si>
    <t>다음 이대나올여자♡ 카페지기 Romeo Van Montague (http://cafe.daum.net/ewhalady)</t>
    <phoneticPr fontId="1" type="noConversion"/>
  </si>
  <si>
    <t xml:space="preserve"> 다음 Kyunghee Holic 카페지기 프리오드 (http://cafe.daum.net/Khuholic)</t>
    <phoneticPr fontId="1" type="noConversion"/>
  </si>
  <si>
    <t>Update내역</t>
    <phoneticPr fontId="1" type="noConversion"/>
  </si>
  <si>
    <t>상세내역</t>
    <phoneticPr fontId="1" type="noConversion"/>
  </si>
  <si>
    <t>1.0.0</t>
    <phoneticPr fontId="1" type="noConversion"/>
  </si>
  <si>
    <t>표준점수</t>
    <phoneticPr fontId="1" type="noConversion"/>
  </si>
  <si>
    <t>유니스트</t>
  </si>
  <si>
    <t>GIST</t>
  </si>
  <si>
    <t>홍익대 가,다군(자연)</t>
  </si>
  <si>
    <t>홍익대 가,다군(자율)</t>
  </si>
  <si>
    <t>홍익대 나군</t>
  </si>
  <si>
    <t>아주대 가군</t>
  </si>
  <si>
    <t>아주대 나군(의예,간호제외)</t>
  </si>
  <si>
    <t>아주대 다군</t>
  </si>
  <si>
    <t>계산방식</t>
    <phoneticPr fontId="1" type="noConversion"/>
  </si>
  <si>
    <t>탐구반영</t>
    <phoneticPr fontId="1" type="noConversion"/>
  </si>
  <si>
    <t>합</t>
    <phoneticPr fontId="1" type="noConversion"/>
  </si>
  <si>
    <t>표준점수</t>
    <phoneticPr fontId="1" type="noConversion"/>
  </si>
  <si>
    <t>합</t>
    <phoneticPr fontId="1" type="noConversion"/>
  </si>
  <si>
    <t>국어A</t>
    <phoneticPr fontId="1" type="noConversion"/>
  </si>
  <si>
    <t>수학B</t>
    <phoneticPr fontId="1" type="noConversion"/>
  </si>
  <si>
    <t>만점</t>
    <phoneticPr fontId="1" type="noConversion"/>
  </si>
  <si>
    <t>백분위</t>
    <phoneticPr fontId="1" type="noConversion"/>
  </si>
  <si>
    <t>과목</t>
  </si>
  <si>
    <t>과학탐구</t>
    <phoneticPr fontId="1" type="noConversion"/>
  </si>
  <si>
    <t>화학1</t>
    <phoneticPr fontId="1" type="noConversion"/>
  </si>
  <si>
    <t>생명1</t>
    <phoneticPr fontId="1" type="noConversion"/>
  </si>
  <si>
    <t>지학1</t>
    <phoneticPr fontId="1" type="noConversion"/>
  </si>
  <si>
    <t>물리2</t>
    <phoneticPr fontId="1" type="noConversion"/>
  </si>
  <si>
    <t>화학2</t>
    <phoneticPr fontId="1" type="noConversion"/>
  </si>
  <si>
    <t>생명2</t>
    <phoneticPr fontId="1" type="noConversion"/>
  </si>
  <si>
    <t>지학2</t>
    <phoneticPr fontId="1" type="noConversion"/>
  </si>
  <si>
    <t>표점</t>
    <phoneticPr fontId="1" type="noConversion"/>
  </si>
  <si>
    <t>물리1</t>
    <phoneticPr fontId="1" type="noConversion"/>
  </si>
  <si>
    <t>본인표점</t>
    <phoneticPr fontId="1" type="noConversion"/>
  </si>
  <si>
    <t>본인백분위</t>
    <phoneticPr fontId="1" type="noConversion"/>
  </si>
  <si>
    <t>연세대</t>
    <phoneticPr fontId="1" type="noConversion"/>
  </si>
  <si>
    <t>백분위</t>
    <phoneticPr fontId="1" type="noConversion"/>
  </si>
  <si>
    <t>변표</t>
    <phoneticPr fontId="1" type="noConversion"/>
  </si>
  <si>
    <t>x</t>
    <phoneticPr fontId="1" type="noConversion"/>
  </si>
  <si>
    <t>고려대</t>
    <phoneticPr fontId="1" type="noConversion"/>
  </si>
  <si>
    <t>서강대</t>
    <phoneticPr fontId="1" type="noConversion"/>
  </si>
  <si>
    <t>성균관대</t>
    <phoneticPr fontId="1" type="noConversion"/>
  </si>
  <si>
    <t>한양대</t>
    <phoneticPr fontId="1" type="noConversion"/>
  </si>
  <si>
    <t>중앙대</t>
    <phoneticPr fontId="1" type="noConversion"/>
  </si>
  <si>
    <t>경희대</t>
    <phoneticPr fontId="1" type="noConversion"/>
  </si>
  <si>
    <t>이화여대</t>
    <phoneticPr fontId="1" type="noConversion"/>
  </si>
  <si>
    <t>서울대</t>
    <phoneticPr fontId="1" type="noConversion"/>
  </si>
  <si>
    <t>연세대</t>
    <phoneticPr fontId="1" type="noConversion"/>
  </si>
  <si>
    <t>고려대</t>
    <phoneticPr fontId="1" type="noConversion"/>
  </si>
  <si>
    <t>서강대</t>
    <phoneticPr fontId="1" type="noConversion"/>
  </si>
  <si>
    <t>성균관대</t>
    <phoneticPr fontId="1" type="noConversion"/>
  </si>
  <si>
    <t>한양대</t>
    <phoneticPr fontId="1" type="noConversion"/>
  </si>
  <si>
    <t>중앙대</t>
    <phoneticPr fontId="1" type="noConversion"/>
  </si>
  <si>
    <t>경희대</t>
    <phoneticPr fontId="1" type="noConversion"/>
  </si>
  <si>
    <t>시립대</t>
    <phoneticPr fontId="1" type="noConversion"/>
  </si>
  <si>
    <t>이대</t>
    <phoneticPr fontId="1" type="noConversion"/>
  </si>
  <si>
    <t>1순위</t>
    <phoneticPr fontId="1" type="noConversion"/>
  </si>
  <si>
    <t>2순위</t>
    <phoneticPr fontId="1" type="noConversion"/>
  </si>
  <si>
    <t>카이스트</t>
    <phoneticPr fontId="1" type="noConversion"/>
  </si>
  <si>
    <t>Update Date</t>
    <phoneticPr fontId="1" type="noConversion"/>
  </si>
  <si>
    <t>영어</t>
    <phoneticPr fontId="1" type="noConversion"/>
  </si>
  <si>
    <t>서강대</t>
    <phoneticPr fontId="1" type="noConversion"/>
  </si>
  <si>
    <t>시립대 물리 우선</t>
    <phoneticPr fontId="1" type="noConversion"/>
  </si>
  <si>
    <t>환산점수</t>
    <phoneticPr fontId="1" type="noConversion"/>
  </si>
  <si>
    <t>서울대</t>
    <phoneticPr fontId="1" type="noConversion"/>
  </si>
  <si>
    <t>연세대</t>
    <phoneticPr fontId="1" type="noConversion"/>
  </si>
  <si>
    <t>고려대우선</t>
    <phoneticPr fontId="1" type="noConversion"/>
  </si>
  <si>
    <t>고려대일반</t>
    <phoneticPr fontId="1" type="noConversion"/>
  </si>
  <si>
    <t>한양대</t>
    <phoneticPr fontId="1" type="noConversion"/>
  </si>
  <si>
    <t>중앙대</t>
    <phoneticPr fontId="1" type="noConversion"/>
  </si>
  <si>
    <t>경희대</t>
    <phoneticPr fontId="1" type="noConversion"/>
  </si>
  <si>
    <t>시립대 자연 우선</t>
    <phoneticPr fontId="1" type="noConversion"/>
  </si>
  <si>
    <t>카이스트</t>
    <phoneticPr fontId="1" type="noConversion"/>
  </si>
  <si>
    <t>이화여대</t>
    <phoneticPr fontId="1" type="noConversion"/>
  </si>
  <si>
    <t>홍익대 나군</t>
    <phoneticPr fontId="1" type="noConversion"/>
  </si>
  <si>
    <t>아주대 나군
(의예,간호제외)</t>
    <phoneticPr fontId="1" type="noConversion"/>
  </si>
  <si>
    <t>합계</t>
    <phoneticPr fontId="1" type="noConversion"/>
  </si>
  <si>
    <t>만점</t>
    <phoneticPr fontId="1" type="noConversion"/>
  </si>
  <si>
    <t>홍익대 가,다군
(자연)</t>
    <phoneticPr fontId="1" type="noConversion"/>
  </si>
  <si>
    <t>홍익대 가,다군
(자율)</t>
    <phoneticPr fontId="1" type="noConversion"/>
  </si>
  <si>
    <t>국어</t>
    <phoneticPr fontId="1" type="noConversion"/>
  </si>
  <si>
    <t>과탐1</t>
    <phoneticPr fontId="1" type="noConversion"/>
  </si>
  <si>
    <t>1.0.0버전 출시, UI개선, 탐구2 가산점 자동적용, 한양대변표</t>
    <phoneticPr fontId="1" type="noConversion"/>
  </si>
  <si>
    <t>13.12.03</t>
    <phoneticPr fontId="1" type="noConversion"/>
  </si>
  <si>
    <t>과탐합</t>
    <phoneticPr fontId="1" type="noConversion"/>
  </si>
  <si>
    <t>B형백분위*</t>
  </si>
  <si>
    <t>과탐백분위</t>
  </si>
  <si>
    <t>ABB백분위</t>
  </si>
  <si>
    <t>청솔식</t>
  </si>
  <si>
    <t>울산대 의예</t>
    <phoneticPr fontId="1" type="noConversion"/>
  </si>
  <si>
    <t>울산대</t>
    <phoneticPr fontId="1" type="noConversion"/>
  </si>
  <si>
    <t>울산대</t>
    <phoneticPr fontId="1" type="noConversion"/>
  </si>
  <si>
    <t>울산대 의예과</t>
    <phoneticPr fontId="1" type="noConversion"/>
  </si>
  <si>
    <t>변표</t>
    <phoneticPr fontId="1" type="noConversion"/>
  </si>
  <si>
    <t>울산대의예과</t>
    <phoneticPr fontId="1" type="noConversion"/>
  </si>
  <si>
    <t>한림대</t>
    <phoneticPr fontId="1" type="noConversion"/>
  </si>
  <si>
    <t>한림대</t>
    <phoneticPr fontId="1" type="noConversion"/>
  </si>
  <si>
    <t>백분위점수</t>
  </si>
  <si>
    <t>변환점수</t>
  </si>
  <si>
    <t>최고표점</t>
    <phoneticPr fontId="1" type="noConversion"/>
  </si>
  <si>
    <t>최고백분위</t>
    <phoneticPr fontId="1" type="noConversion"/>
  </si>
  <si>
    <t>13.11.29</t>
    <phoneticPr fontId="1" type="noConversion"/>
  </si>
  <si>
    <t>한림대의예과</t>
    <phoneticPr fontId="1" type="noConversion"/>
  </si>
  <si>
    <t>울산대 의예</t>
    <phoneticPr fontId="1" type="noConversion"/>
  </si>
  <si>
    <t>한림대 의예</t>
    <phoneticPr fontId="1" type="noConversion"/>
  </si>
  <si>
    <t>한림대 의예과</t>
    <phoneticPr fontId="1" type="noConversion"/>
  </si>
  <si>
    <t>한림대의예</t>
    <phoneticPr fontId="1" type="noConversion"/>
  </si>
  <si>
    <t>인제대 의예</t>
    <phoneticPr fontId="1" type="noConversion"/>
  </si>
  <si>
    <t>인제대</t>
    <phoneticPr fontId="1" type="noConversion"/>
  </si>
  <si>
    <t>인제대의예과</t>
    <phoneticPr fontId="1" type="noConversion"/>
  </si>
  <si>
    <t>인제대 의예과</t>
    <phoneticPr fontId="1" type="noConversion"/>
  </si>
  <si>
    <t>합</t>
    <phoneticPr fontId="1" type="noConversion"/>
  </si>
  <si>
    <t>표준점수</t>
    <phoneticPr fontId="1" type="noConversion"/>
  </si>
  <si>
    <t>순천향</t>
    <phoneticPr fontId="1" type="noConversion"/>
  </si>
  <si>
    <t>순천향의예과</t>
    <phoneticPr fontId="1" type="noConversion"/>
  </si>
  <si>
    <t>순천향대 의예과</t>
    <phoneticPr fontId="1" type="noConversion"/>
  </si>
  <si>
    <t>백분위</t>
    <phoneticPr fontId="1" type="noConversion"/>
  </si>
  <si>
    <t>단국대</t>
    <phoneticPr fontId="1" type="noConversion"/>
  </si>
  <si>
    <t>단국대</t>
    <phoneticPr fontId="1" type="noConversion"/>
  </si>
  <si>
    <t>단국대 의,치예과</t>
    <phoneticPr fontId="1" type="noConversion"/>
  </si>
  <si>
    <t>표+백</t>
    <phoneticPr fontId="1" type="noConversion"/>
  </si>
  <si>
    <t>인제대 의예</t>
    <phoneticPr fontId="1" type="noConversion"/>
  </si>
  <si>
    <t>순천향대 의예</t>
    <phoneticPr fontId="1" type="noConversion"/>
  </si>
  <si>
    <t>단국대 의,치의예</t>
    <phoneticPr fontId="1" type="noConversion"/>
  </si>
  <si>
    <t>순천향대 의예</t>
    <phoneticPr fontId="1" type="noConversion"/>
  </si>
  <si>
    <t>단국대 의,치의예</t>
    <phoneticPr fontId="1" type="noConversion"/>
  </si>
  <si>
    <t>전남의, 치전원</t>
    <phoneticPr fontId="1" type="noConversion"/>
  </si>
  <si>
    <t>전남대</t>
    <phoneticPr fontId="1" type="noConversion"/>
  </si>
  <si>
    <t>전남대</t>
    <phoneticPr fontId="1" type="noConversion"/>
  </si>
  <si>
    <t>동국의전</t>
    <phoneticPr fontId="1" type="noConversion"/>
  </si>
  <si>
    <t>동국의전</t>
    <phoneticPr fontId="1" type="noConversion"/>
  </si>
  <si>
    <t>동국의전</t>
    <phoneticPr fontId="1" type="noConversion"/>
  </si>
  <si>
    <t>원광의,원광한</t>
    <phoneticPr fontId="1" type="noConversion"/>
  </si>
  <si>
    <t>전남의,치전원</t>
    <phoneticPr fontId="1" type="noConversion"/>
  </si>
  <si>
    <t>원광의,한</t>
    <phoneticPr fontId="1" type="noConversion"/>
  </si>
  <si>
    <t>표준점수</t>
    <phoneticPr fontId="1" type="noConversion"/>
  </si>
  <si>
    <t>합</t>
    <phoneticPr fontId="1" type="noConversion"/>
  </si>
  <si>
    <t>표준점수</t>
    <phoneticPr fontId="1" type="noConversion"/>
  </si>
  <si>
    <t>을지대 의예</t>
    <phoneticPr fontId="1" type="noConversion"/>
  </si>
  <si>
    <t>을지대 의예</t>
    <phoneticPr fontId="1" type="noConversion"/>
  </si>
  <si>
    <t>을지대 의예과</t>
    <phoneticPr fontId="1" type="noConversion"/>
  </si>
  <si>
    <t>합</t>
    <phoneticPr fontId="1" type="noConversion"/>
  </si>
  <si>
    <t>백분위</t>
    <phoneticPr fontId="1" type="noConversion"/>
  </si>
  <si>
    <t>원광대</t>
    <phoneticPr fontId="1" type="noConversion"/>
  </si>
  <si>
    <t>을지대</t>
    <phoneticPr fontId="1" type="noConversion"/>
  </si>
  <si>
    <t>원광대</t>
    <phoneticPr fontId="1" type="noConversion"/>
  </si>
  <si>
    <t>충북대 의예</t>
    <phoneticPr fontId="1" type="noConversion"/>
  </si>
  <si>
    <t>영남대 의예</t>
    <phoneticPr fontId="1" type="noConversion"/>
  </si>
  <si>
    <t>충북대</t>
    <phoneticPr fontId="1" type="noConversion"/>
  </si>
  <si>
    <t>가중치</t>
    <phoneticPr fontId="1" type="noConversion"/>
  </si>
  <si>
    <t>영남대 의예</t>
    <phoneticPr fontId="1" type="noConversion"/>
  </si>
  <si>
    <t>충북대 의예과</t>
    <phoneticPr fontId="1" type="noConversion"/>
  </si>
  <si>
    <t>영남대 의예과</t>
    <phoneticPr fontId="1" type="noConversion"/>
  </si>
  <si>
    <t>건양대 의학</t>
    <phoneticPr fontId="1" type="noConversion"/>
  </si>
  <si>
    <t>건양대 의학</t>
    <phoneticPr fontId="1" type="noConversion"/>
  </si>
  <si>
    <t>계명대 의예</t>
    <phoneticPr fontId="1" type="noConversion"/>
  </si>
  <si>
    <t>계명대 의예과</t>
    <phoneticPr fontId="1" type="noConversion"/>
  </si>
  <si>
    <t>합</t>
    <phoneticPr fontId="1" type="noConversion"/>
  </si>
  <si>
    <t>백분위</t>
    <phoneticPr fontId="1" type="noConversion"/>
  </si>
  <si>
    <t>계명대 의예</t>
    <phoneticPr fontId="1" type="noConversion"/>
  </si>
  <si>
    <t>건양대 의예과</t>
    <phoneticPr fontId="1" type="noConversion"/>
  </si>
  <si>
    <t>동아대 의예과</t>
    <phoneticPr fontId="1" type="noConversion"/>
  </si>
  <si>
    <t>합</t>
    <phoneticPr fontId="1" type="noConversion"/>
  </si>
  <si>
    <t>동아대 의예</t>
    <phoneticPr fontId="1" type="noConversion"/>
  </si>
  <si>
    <t>고신대 의예</t>
    <phoneticPr fontId="1" type="noConversion"/>
  </si>
  <si>
    <t>고신대 의예</t>
    <phoneticPr fontId="1" type="noConversion"/>
  </si>
  <si>
    <t>고신대 의예과</t>
    <phoneticPr fontId="1" type="noConversion"/>
  </si>
  <si>
    <t>대구가톨릭대 의예</t>
    <phoneticPr fontId="1" type="noConversion"/>
  </si>
  <si>
    <t>관동대 의예</t>
    <phoneticPr fontId="1" type="noConversion"/>
  </si>
  <si>
    <t>Closed</t>
    <phoneticPr fontId="1" type="noConversion"/>
  </si>
  <si>
    <t>서남대 의예</t>
    <phoneticPr fontId="1" type="noConversion"/>
  </si>
  <si>
    <t>제주의전</t>
    <phoneticPr fontId="1" type="noConversion"/>
  </si>
  <si>
    <t>관동대 의예</t>
    <phoneticPr fontId="1" type="noConversion"/>
  </si>
  <si>
    <t>합</t>
    <phoneticPr fontId="1" type="noConversion"/>
  </si>
  <si>
    <t>백분위</t>
    <phoneticPr fontId="1" type="noConversion"/>
  </si>
  <si>
    <t>서남대 의예</t>
    <phoneticPr fontId="1" type="noConversion"/>
  </si>
  <si>
    <t>제주의전</t>
    <phoneticPr fontId="1" type="noConversion"/>
  </si>
  <si>
    <t>백분위</t>
    <phoneticPr fontId="1" type="noConversion"/>
  </si>
  <si>
    <t>의예과, 치의예과 지원</t>
    <phoneticPr fontId="1" type="noConversion"/>
  </si>
  <si>
    <t>강릉대 치의예</t>
    <phoneticPr fontId="1" type="noConversion"/>
  </si>
  <si>
    <t>강릉대 치의예</t>
    <phoneticPr fontId="1" type="noConversion"/>
  </si>
  <si>
    <t>합</t>
    <phoneticPr fontId="1" type="noConversion"/>
  </si>
  <si>
    <t>백분위</t>
    <phoneticPr fontId="1" type="noConversion"/>
  </si>
  <si>
    <t>아주대 의예</t>
    <phoneticPr fontId="1" type="noConversion"/>
  </si>
  <si>
    <t>아주대 의예과</t>
    <phoneticPr fontId="1" type="noConversion"/>
  </si>
  <si>
    <t>합/만점합</t>
    <phoneticPr fontId="1" type="noConversion"/>
  </si>
  <si>
    <t>표+백</t>
    <phoneticPr fontId="1" type="noConversion"/>
  </si>
  <si>
    <t>관동대</t>
    <phoneticPr fontId="1" type="noConversion"/>
  </si>
  <si>
    <t>순천향대</t>
    <phoneticPr fontId="1" type="noConversion"/>
  </si>
  <si>
    <t>표+백</t>
    <phoneticPr fontId="1" type="noConversion"/>
  </si>
  <si>
    <t xml:space="preserve">합(표점/만점) </t>
    <phoneticPr fontId="1" type="noConversion"/>
  </si>
  <si>
    <t>서남대</t>
    <phoneticPr fontId="1" type="noConversion"/>
  </si>
  <si>
    <t>가군</t>
    <phoneticPr fontId="1" type="noConversion"/>
  </si>
  <si>
    <t>Closed</t>
    <phoneticPr fontId="1" type="noConversion"/>
  </si>
  <si>
    <t>나군</t>
    <phoneticPr fontId="1" type="noConversion"/>
  </si>
  <si>
    <t>다군</t>
    <phoneticPr fontId="1" type="noConversion"/>
  </si>
  <si>
    <t>건양대</t>
    <phoneticPr fontId="1" type="noConversion"/>
  </si>
  <si>
    <t>계명대</t>
    <phoneticPr fontId="1" type="noConversion"/>
  </si>
  <si>
    <t>아주대</t>
    <phoneticPr fontId="1" type="noConversion"/>
  </si>
  <si>
    <t>대구가톨릭대</t>
    <phoneticPr fontId="1" type="noConversion"/>
  </si>
  <si>
    <t>대구가톨릭대 계산방식추가</t>
    <phoneticPr fontId="1" type="noConversion"/>
  </si>
  <si>
    <t>1.2.1</t>
    <phoneticPr fontId="1" type="noConversion"/>
  </si>
  <si>
    <t>아주대 의예과 오류수정</t>
    <phoneticPr fontId="1" type="noConversion"/>
  </si>
  <si>
    <t>orbi_supply@live.co.kr</t>
    <phoneticPr fontId="1" type="noConversion"/>
  </si>
  <si>
    <t xml:space="preserve">오르비 모의지원에 공개된 Kaleidoscope 2014 무료 버전에 기반하여 제작된 추정치이며, 정확한 값은 오르비 모의지원 페이지를 참조하세요.' </t>
    <phoneticPr fontId="1" type="noConversion"/>
  </si>
  <si>
    <t>http://faitcalc.orbi.kr/apply/1412/kaleidoscope</t>
  </si>
  <si>
    <r>
      <t>단순표점합</t>
    </r>
    <r>
      <rPr>
        <b/>
        <sz val="9"/>
        <color rgb="FFFF4600"/>
        <rFont val="돋움"/>
        <family val="3"/>
        <charset val="129"/>
      </rPr>
      <t>*</t>
    </r>
  </si>
  <si>
    <r>
      <t>Fait점수</t>
    </r>
    <r>
      <rPr>
        <b/>
        <sz val="9"/>
        <color rgb="FFFF4600"/>
        <rFont val="돋움"/>
        <family val="3"/>
        <charset val="129"/>
      </rPr>
      <t>*</t>
    </r>
  </si>
  <si>
    <t>누적백분위</t>
    <phoneticPr fontId="1" type="noConversion"/>
  </si>
  <si>
    <t>등수</t>
    <phoneticPr fontId="1" type="noConversion"/>
  </si>
  <si>
    <t>Fait기준</t>
    <phoneticPr fontId="1" type="noConversion"/>
  </si>
  <si>
    <t>오차범위</t>
    <phoneticPr fontId="1" type="noConversion"/>
  </si>
  <si>
    <t>윗칸</t>
    <phoneticPr fontId="1" type="noConversion"/>
  </si>
  <si>
    <t>누적</t>
    <phoneticPr fontId="1" type="noConversion"/>
  </si>
  <si>
    <t>유사점수</t>
    <phoneticPr fontId="1" type="noConversion"/>
  </si>
  <si>
    <t>아래칸</t>
    <phoneticPr fontId="1" type="noConversion"/>
  </si>
  <si>
    <t>누적</t>
    <phoneticPr fontId="1" type="noConversion"/>
  </si>
  <si>
    <t>서울대</t>
    <phoneticPr fontId="1" type="noConversion"/>
  </si>
  <si>
    <t>연세대</t>
    <phoneticPr fontId="1" type="noConversion"/>
  </si>
  <si>
    <t>오르비수학B</t>
    <phoneticPr fontId="1" type="noConversion"/>
  </si>
  <si>
    <t>오르비 수B기준</t>
    <phoneticPr fontId="1" type="noConversion"/>
  </si>
  <si>
    <t>CLOSED</t>
    <phoneticPr fontId="1" type="noConversion"/>
  </si>
  <si>
    <t>인하대</t>
    <phoneticPr fontId="1" type="noConversion"/>
  </si>
  <si>
    <t>인하대(아태,글금)</t>
    <phoneticPr fontId="1" type="noConversion"/>
  </si>
  <si>
    <t>인하대</t>
    <phoneticPr fontId="1" type="noConversion"/>
  </si>
  <si>
    <t>인하대</t>
    <phoneticPr fontId="1" type="noConversion"/>
  </si>
  <si>
    <t>인하대</t>
    <phoneticPr fontId="1" type="noConversion"/>
  </si>
  <si>
    <t>과목명</t>
    <phoneticPr fontId="1" type="noConversion"/>
  </si>
  <si>
    <t>시립대 자연우선</t>
    <phoneticPr fontId="1" type="noConversion"/>
  </si>
  <si>
    <t>건국대</t>
    <phoneticPr fontId="1" type="noConversion"/>
  </si>
  <si>
    <t>동국대</t>
    <phoneticPr fontId="1" type="noConversion"/>
  </si>
  <si>
    <t>건국대</t>
    <phoneticPr fontId="1" type="noConversion"/>
  </si>
  <si>
    <t>동국대</t>
    <phoneticPr fontId="1" type="noConversion"/>
  </si>
  <si>
    <t>건국대</t>
    <phoneticPr fontId="1" type="noConversion"/>
  </si>
  <si>
    <t>동국대</t>
    <phoneticPr fontId="1" type="noConversion"/>
  </si>
  <si>
    <t>건국대</t>
    <phoneticPr fontId="1" type="noConversion"/>
  </si>
  <si>
    <t>동국대</t>
    <phoneticPr fontId="1" type="noConversion"/>
  </si>
  <si>
    <t>고대우선</t>
    <phoneticPr fontId="1" type="noConversion"/>
  </si>
  <si>
    <t>수학B</t>
    <phoneticPr fontId="1" type="noConversion"/>
  </si>
  <si>
    <t>홍익대 자전</t>
    <phoneticPr fontId="1" type="noConversion"/>
  </si>
  <si>
    <t>홍익대 자연</t>
    <phoneticPr fontId="1" type="noConversion"/>
  </si>
  <si>
    <t>성대우선</t>
    <phoneticPr fontId="1" type="noConversion"/>
  </si>
  <si>
    <t>2.0.0</t>
    <phoneticPr fontId="1" type="noConversion"/>
  </si>
  <si>
    <t>인하대</t>
    <phoneticPr fontId="1" type="noConversion"/>
  </si>
  <si>
    <t>건국대</t>
    <phoneticPr fontId="1" type="noConversion"/>
  </si>
  <si>
    <t>동국대</t>
    <phoneticPr fontId="1" type="noConversion"/>
  </si>
  <si>
    <t>합</t>
    <phoneticPr fontId="1" type="noConversion"/>
  </si>
  <si>
    <t>변표</t>
    <phoneticPr fontId="1" type="noConversion"/>
  </si>
  <si>
    <t>변표</t>
    <phoneticPr fontId="1" type="noConversion"/>
  </si>
  <si>
    <t>버그수정, 인하대,동국대,건국대추가,UI개선</t>
    <phoneticPr fontId="1" type="noConversion"/>
  </si>
  <si>
    <t>오르비 물량공급(kyu7002)</t>
    <phoneticPr fontId="1" type="noConversion"/>
  </si>
  <si>
    <t>오르비 수학B</t>
    <phoneticPr fontId="1" type="noConversion"/>
  </si>
  <si>
    <t>가군</t>
    <phoneticPr fontId="1" type="noConversion"/>
  </si>
  <si>
    <t>점수입력 칸</t>
    <phoneticPr fontId="1" type="noConversion"/>
  </si>
  <si>
    <t>산출점수</t>
  </si>
  <si>
    <t>31 미만</t>
  </si>
  <si>
    <t>물리 I</t>
  </si>
  <si>
    <t>화학 I</t>
  </si>
  <si>
    <t>생명 과학 I</t>
  </si>
  <si>
    <t>지구 과학 I</t>
  </si>
  <si>
    <t>물리 II</t>
  </si>
  <si>
    <t>화학 II</t>
  </si>
  <si>
    <t>생명 과학 II</t>
  </si>
  <si>
    <t>지구 과학 II</t>
  </si>
  <si>
    <t>32 미만</t>
  </si>
  <si>
    <t>30 미만</t>
  </si>
  <si>
    <t>29 미만</t>
  </si>
  <si>
    <t>서울대(문과 교차)</t>
    <phoneticPr fontId="1" type="noConversion"/>
  </si>
  <si>
    <t>(사탐기준)</t>
    <phoneticPr fontId="1" type="noConversion"/>
  </si>
  <si>
    <t>서울대(문과교차)</t>
    <phoneticPr fontId="1" type="noConversion"/>
  </si>
  <si>
    <t>서울대는 표준점수 
입력해야 계산됨</t>
    <phoneticPr fontId="1" type="noConversion"/>
  </si>
  <si>
    <t>(사탐기준)</t>
    <phoneticPr fontId="1" type="noConversion"/>
  </si>
  <si>
    <t>A'형</t>
  </si>
  <si>
    <t>국어'B'형이 산출기준인 
모집단위에 지원한 경우</t>
  </si>
  <si>
    <t>49 미만</t>
  </si>
  <si>
    <t>B'형</t>
  </si>
  <si>
    <t>수학'A'형이 산출기준인 
모집단위에 지원한 경우</t>
  </si>
  <si>
    <t>62 미만</t>
  </si>
  <si>
    <t>서울대교차</t>
    <phoneticPr fontId="1" type="noConversion"/>
  </si>
  <si>
    <t>서울대교차</t>
    <phoneticPr fontId="1" type="noConversion"/>
  </si>
  <si>
    <t>1 두개</t>
    <phoneticPr fontId="1" type="noConversion"/>
  </si>
  <si>
    <t>동일계열</t>
    <phoneticPr fontId="1" type="noConversion"/>
  </si>
  <si>
    <t>서울대,인하대,동국대 변환표준점수 및 서울대교차 반영</t>
    <phoneticPr fontId="1" type="noConversion"/>
  </si>
  <si>
    <t>강릉치</t>
    <phoneticPr fontId="1" type="noConversion"/>
  </si>
  <si>
    <t>강릉치</t>
    <phoneticPr fontId="1" type="noConversion"/>
  </si>
  <si>
    <t>13.12.10</t>
    <phoneticPr fontId="1" type="noConversion"/>
  </si>
  <si>
    <t>13.12.10</t>
    <phoneticPr fontId="1" type="noConversion"/>
  </si>
  <si>
    <r>
      <t>사탐백분위</t>
    </r>
    <r>
      <rPr>
        <b/>
        <sz val="9"/>
        <color rgb="FFFF4600"/>
        <rFont val="돋움"/>
        <family val="3"/>
        <charset val="129"/>
      </rPr>
      <t>*</t>
    </r>
  </si>
  <si>
    <t>서울대(문과 교차)</t>
    <phoneticPr fontId="1" type="noConversion"/>
  </si>
  <si>
    <t>CLOSED</t>
    <phoneticPr fontId="1" type="noConversion"/>
  </si>
  <si>
    <t>CLOSED</t>
    <phoneticPr fontId="1" type="noConversion"/>
  </si>
  <si>
    <t>2.1.1</t>
    <phoneticPr fontId="1" type="noConversion"/>
  </si>
  <si>
    <t>이화여대 변환표준점수 반영</t>
    <phoneticPr fontId="1" type="noConversion"/>
  </si>
  <si>
    <t>2013.12.12</t>
    <phoneticPr fontId="1" type="noConversion"/>
  </si>
  <si>
    <t>2013.12.12</t>
    <phoneticPr fontId="1" type="noConversion"/>
  </si>
  <si>
    <t>13.12.12</t>
    <phoneticPr fontId="1" type="noConversion"/>
  </si>
  <si>
    <t>시립대일반</t>
    <phoneticPr fontId="1" type="noConversion"/>
  </si>
  <si>
    <t>13.12.12</t>
    <phoneticPr fontId="1" type="noConversion"/>
  </si>
  <si>
    <t>서강대,연세대,고려대,시립대,건국대,울산대 변환표준점수적용</t>
    <phoneticPr fontId="1" type="noConversion"/>
  </si>
  <si>
    <t>3.0.0</t>
    <phoneticPr fontId="1" type="noConversion"/>
  </si>
  <si>
    <t>건국대</t>
  </si>
  <si>
    <t>동국대</t>
  </si>
  <si>
    <t>인하대</t>
  </si>
  <si>
    <t>청솔</t>
    <phoneticPr fontId="1" type="noConversion"/>
  </si>
  <si>
    <t>연세대</t>
    <phoneticPr fontId="1" type="noConversion"/>
  </si>
  <si>
    <t>고대일반</t>
    <phoneticPr fontId="1" type="noConversion"/>
  </si>
  <si>
    <t>성대일반</t>
    <phoneticPr fontId="1" type="noConversion"/>
  </si>
  <si>
    <t>한양대</t>
    <phoneticPr fontId="1" type="noConversion"/>
  </si>
  <si>
    <t>경희대</t>
    <phoneticPr fontId="1" type="noConversion"/>
  </si>
  <si>
    <t>이화여대</t>
    <phoneticPr fontId="1" type="noConversion"/>
  </si>
  <si>
    <t>아주대</t>
    <phoneticPr fontId="1" type="noConversion"/>
  </si>
  <si>
    <t>인하대(아태,글금)</t>
    <phoneticPr fontId="1" type="noConversion"/>
  </si>
  <si>
    <t>건국대</t>
    <phoneticPr fontId="1" type="noConversion"/>
  </si>
  <si>
    <t>경희대</t>
    <phoneticPr fontId="1" type="noConversion"/>
  </si>
  <si>
    <t>시립대 자연우선</t>
    <phoneticPr fontId="1" type="noConversion"/>
  </si>
  <si>
    <t>시립대일반</t>
    <phoneticPr fontId="1" type="noConversion"/>
  </si>
  <si>
    <t>인하대</t>
    <phoneticPr fontId="1" type="noConversion"/>
  </si>
  <si>
    <t>서울대</t>
    <phoneticPr fontId="1" type="noConversion"/>
  </si>
  <si>
    <t>서울대 교차지원</t>
    <phoneticPr fontId="1" type="noConversion"/>
  </si>
  <si>
    <t>한양대</t>
    <phoneticPr fontId="1" type="noConversion"/>
  </si>
  <si>
    <t>서강대</t>
    <phoneticPr fontId="1" type="noConversion"/>
  </si>
  <si>
    <t>성대우선</t>
    <phoneticPr fontId="1" type="noConversion"/>
  </si>
  <si>
    <t>성대일반</t>
    <phoneticPr fontId="1" type="noConversion"/>
  </si>
  <si>
    <t>중앙대</t>
    <phoneticPr fontId="1" type="noConversion"/>
  </si>
  <si>
    <t>시립대 물리우선</t>
    <phoneticPr fontId="1" type="noConversion"/>
  </si>
  <si>
    <t>건국대</t>
    <phoneticPr fontId="1" type="noConversion"/>
  </si>
  <si>
    <t>홍익대 나군</t>
    <phoneticPr fontId="1" type="noConversion"/>
  </si>
  <si>
    <t>Unist</t>
    <phoneticPr fontId="1" type="noConversion"/>
  </si>
  <si>
    <t>아주대</t>
    <phoneticPr fontId="1" type="noConversion"/>
  </si>
  <si>
    <t>경희대</t>
    <phoneticPr fontId="1" type="noConversion"/>
  </si>
  <si>
    <t>건국대</t>
    <phoneticPr fontId="1" type="noConversion"/>
  </si>
  <si>
    <t>시립대일반</t>
    <phoneticPr fontId="1" type="noConversion"/>
  </si>
  <si>
    <t>오르비 칼레</t>
    <phoneticPr fontId="1" type="noConversion"/>
  </si>
  <si>
    <t>오르비 칼레</t>
    <phoneticPr fontId="1" type="noConversion"/>
  </si>
  <si>
    <t>오르비 칼레</t>
    <phoneticPr fontId="1" type="noConversion"/>
  </si>
  <si>
    <t>오르비 칼레</t>
    <phoneticPr fontId="1" type="noConversion"/>
  </si>
  <si>
    <t>오르비 수학B</t>
    <phoneticPr fontId="1" type="noConversion"/>
  </si>
  <si>
    <t>2013.12.15</t>
    <phoneticPr fontId="1" type="noConversion"/>
  </si>
  <si>
    <t>서울대교차</t>
    <phoneticPr fontId="1" type="noConversion"/>
  </si>
  <si>
    <t>청솔</t>
    <phoneticPr fontId="1" type="noConversion"/>
  </si>
  <si>
    <t>청솔기준</t>
    <phoneticPr fontId="1" type="noConversion"/>
  </si>
  <si>
    <t>청솔학원에서 공개한 누적백분위 이며 다음링크를 참조하세요</t>
    <phoneticPr fontId="1" type="noConversion"/>
  </si>
  <si>
    <t>http://www.etoos.com/report/report/report05.asp?boardArticle_id=16823105&amp;page=1&amp;REPORT_FRAME_YN=N</t>
  </si>
  <si>
    <t>자연&lt;상위누적&gt;</t>
  </si>
  <si>
    <t>경북대</t>
  </si>
  <si>
    <r>
      <t>고려대</t>
    </r>
    <r>
      <rPr>
        <b/>
        <sz val="10"/>
        <color rgb="FF000000"/>
        <rFont val="굴림"/>
        <family val="3"/>
        <charset val="129"/>
      </rPr>
      <t>(세종)</t>
    </r>
  </si>
  <si>
    <t>서울시립대</t>
  </si>
  <si>
    <t>성균관대</t>
  </si>
  <si>
    <t>한국외대</t>
  </si>
  <si>
    <t>만점[기준]</t>
  </si>
  <si>
    <t>[800]</t>
  </si>
  <si>
    <t>[500]</t>
  </si>
  <si>
    <t>[1000]</t>
  </si>
  <si>
    <t>[700]</t>
  </si>
  <si>
    <t>[600]</t>
  </si>
  <si>
    <t>최고점</t>
  </si>
  <si>
    <t>주요대학 변표 적용, 청솔누적 적용등</t>
    <phoneticPr fontId="1" type="noConversion"/>
  </si>
  <si>
    <t>CLOSED</t>
    <phoneticPr fontId="1" type="noConversion"/>
  </si>
  <si>
    <t>고려대우선</t>
    <phoneticPr fontId="1" type="noConversion"/>
  </si>
  <si>
    <t>고려대일반</t>
    <phoneticPr fontId="1" type="noConversion"/>
  </si>
  <si>
    <t>동아대</t>
    <phoneticPr fontId="1" type="noConversion"/>
  </si>
  <si>
    <t>연세대</t>
    <phoneticPr fontId="1" type="noConversion"/>
  </si>
  <si>
    <t>연세대(원주)</t>
    <phoneticPr fontId="1" type="noConversion"/>
  </si>
  <si>
    <t>영남대</t>
    <phoneticPr fontId="1" type="noConversion"/>
  </si>
  <si>
    <t>울산대</t>
    <phoneticPr fontId="1" type="noConversion"/>
  </si>
  <si>
    <t>원광대</t>
    <phoneticPr fontId="1" type="noConversion"/>
  </si>
  <si>
    <t>전남대</t>
    <phoneticPr fontId="1" type="noConversion"/>
  </si>
  <si>
    <t>서남대</t>
    <phoneticPr fontId="1" type="noConversion"/>
  </si>
  <si>
    <t>한양대</t>
    <phoneticPr fontId="1" type="noConversion"/>
  </si>
  <si>
    <t>관동대</t>
    <phoneticPr fontId="1" type="noConversion"/>
  </si>
  <si>
    <t>인제대</t>
    <phoneticPr fontId="1" type="noConversion"/>
  </si>
  <si>
    <t>중앙대</t>
    <phoneticPr fontId="1" type="noConversion"/>
  </si>
  <si>
    <t>충북대</t>
    <phoneticPr fontId="1" type="noConversion"/>
  </si>
  <si>
    <t>연원의</t>
    <phoneticPr fontId="1" type="noConversion"/>
  </si>
  <si>
    <t>전남대</t>
    <phoneticPr fontId="1" type="noConversion"/>
  </si>
  <si>
    <t>계명대</t>
    <phoneticPr fontId="1" type="noConversion"/>
  </si>
  <si>
    <t>고신대</t>
    <phoneticPr fontId="1" type="noConversion"/>
  </si>
  <si>
    <t>순천향대</t>
    <phoneticPr fontId="1" type="noConversion"/>
  </si>
  <si>
    <t>을지대</t>
    <phoneticPr fontId="1" type="noConversion"/>
  </si>
  <si>
    <t>제주의전</t>
    <phoneticPr fontId="1" type="noConversion"/>
  </si>
  <si>
    <t>한림대</t>
    <phoneticPr fontId="1" type="noConversion"/>
  </si>
  <si>
    <t>아주대</t>
    <phoneticPr fontId="1" type="noConversion"/>
  </si>
  <si>
    <t>영남대</t>
    <phoneticPr fontId="1" type="noConversion"/>
  </si>
  <si>
    <t>고신대</t>
    <phoneticPr fontId="1" type="noConversion"/>
  </si>
  <si>
    <t>관동대</t>
    <phoneticPr fontId="1" type="noConversion"/>
  </si>
  <si>
    <t>원광대</t>
    <phoneticPr fontId="1" type="noConversion"/>
  </si>
  <si>
    <t>제주의전</t>
    <phoneticPr fontId="1" type="noConversion"/>
  </si>
  <si>
    <t>한림대</t>
    <phoneticPr fontId="1" type="noConversion"/>
  </si>
  <si>
    <t>원광대</t>
    <phoneticPr fontId="1" type="noConversion"/>
  </si>
  <si>
    <t>강릉대 치의예</t>
    <phoneticPr fontId="1" type="noConversion"/>
  </si>
  <si>
    <t>단국대</t>
    <phoneticPr fontId="1" type="noConversion"/>
  </si>
  <si>
    <t>단국대</t>
    <phoneticPr fontId="1" type="noConversion"/>
  </si>
  <si>
    <t>전남의, 치전원</t>
    <phoneticPr fontId="1" type="noConversion"/>
  </si>
  <si>
    <t>청솔</t>
    <phoneticPr fontId="1" type="noConversion"/>
  </si>
  <si>
    <t>청솔</t>
    <phoneticPr fontId="1" type="noConversion"/>
  </si>
  <si>
    <t>3.1.0</t>
    <phoneticPr fontId="1" type="noConversion"/>
  </si>
  <si>
    <t>경희대 한의예</t>
    <phoneticPr fontId="1" type="noConversion"/>
  </si>
  <si>
    <t>나군 대가대 누락추가</t>
    <phoneticPr fontId="1" type="noConversion"/>
  </si>
  <si>
    <t>GM2</t>
    <phoneticPr fontId="1" type="noConversion"/>
  </si>
  <si>
    <t>중앙대 청솔누적 적용</t>
    <phoneticPr fontId="1" type="noConversion"/>
  </si>
  <si>
    <t>국수영탐2</t>
  </si>
  <si>
    <r>
      <t>고려대</t>
    </r>
    <r>
      <rPr>
        <b/>
        <sz val="10"/>
        <color rgb="FF000000"/>
        <rFont val="맑은 고딕"/>
        <family val="3"/>
        <charset val="129"/>
      </rPr>
      <t>(세종)</t>
    </r>
  </si>
  <si>
    <t>중앙대</t>
    <phoneticPr fontId="1" type="noConversion"/>
  </si>
  <si>
    <t>FINAL</t>
    <phoneticPr fontId="1" type="noConversion"/>
  </si>
  <si>
    <t>오르비 칼레, 청솔누적 최종판 적용</t>
    <phoneticPr fontId="1" type="noConversion"/>
  </si>
  <si>
    <t>국어A형</t>
  </si>
  <si>
    <t>변환</t>
  </si>
  <si>
    <t>점수</t>
  </si>
  <si>
    <t>수학B형</t>
  </si>
  <si>
    <t>사회탐구</t>
  </si>
  <si>
    <t>과학탐구</t>
  </si>
  <si>
    <t>연세대</t>
    <phoneticPr fontId="1" type="noConversion"/>
  </si>
  <si>
    <t>연세대교차</t>
    <phoneticPr fontId="1" type="noConversion"/>
  </si>
  <si>
    <t>연대교차</t>
    <phoneticPr fontId="1" type="noConversion"/>
  </si>
  <si>
    <t>연세대(문과로 교차)</t>
  </si>
  <si>
    <t>서울대(문과로 교차)</t>
    <phoneticPr fontId="1" type="noConversion"/>
  </si>
  <si>
    <t>연세대(문과로 교차)</t>
    <phoneticPr fontId="1" type="noConversion"/>
  </si>
  <si>
    <t>오르비:사탐</t>
    <phoneticPr fontId="1" type="noConversion"/>
  </si>
  <si>
    <t>연세대(문과 교차)</t>
    <phoneticPr fontId="1" type="noConversion"/>
  </si>
  <si>
    <t>연세대 교차</t>
    <phoneticPr fontId="1" type="noConversion"/>
  </si>
  <si>
    <t>연세대 교차지원</t>
    <phoneticPr fontId="1" type="noConversion"/>
  </si>
  <si>
    <t>am 4:00</t>
    <phoneticPr fontId="1" type="noConversion"/>
  </si>
  <si>
    <t>오르비  물량공급(kyu7002)</t>
    <phoneticPr fontId="1" type="noConversion"/>
  </si>
  <si>
    <t xml:space="preserve">[ 점수공개카페 목록 ]
  경희대학교 : http://cafe.daum.net/Khuholic 
  고려대학교 : http://cafe.daum.net/prideKU
  서강대학교 : http://cafe.daum.net/youthsogang 
  서울시립대학교 : http://cafe.daum.net/gotouos 
  성균관대학교 : http://cafe.daum.net/skkugo08 
  연세대학교 : http://cafe.daum.net/yonseipoint2005 
  이화여자대학교 : http://cafe.daum.net/ewhalady 
  중앙대학교 : http://cafe.daum.net/cauentry 
  한양대학교 : http://cafe.daum.net/tohy </t>
    <phoneticPr fontId="1" type="noConversion"/>
  </si>
  <si>
    <t>Kaleidoscope Professional 2014 자연계</t>
    <phoneticPr fontId="1" type="noConversion"/>
  </si>
  <si>
    <r>
      <t xml:space="preserve">Powered by Orbis Optimus Fait NT Statistics Engine. Copyright © Orbis Optimus Fait et Praesagium Team, 2001~2013. | </t>
    </r>
    <r>
      <rPr>
        <sz val="10"/>
        <color rgb="FFFF0000"/>
        <rFont val="나눔명조OTF"/>
        <family val="1"/>
        <charset val="129"/>
      </rPr>
      <t xml:space="preserve">무단 전재, 복제 금지 </t>
    </r>
    <phoneticPr fontId="1" type="noConversion"/>
  </si>
  <si>
    <t>*B형백분위: 자연계 응시자를 '수학영역 B형 응시자'로 정의하고, 수학 B형 총 응시자 수로 전국석차를 나누어 석차백분율을 산출한 것. (오르비 표준, 13학년도부터)</t>
    <phoneticPr fontId="1" type="noConversion"/>
  </si>
  <si>
    <t>오르비는 서로 다른 백분위 산출 기준으로 인한 혼란을 방지하기 위하여, 석차백분위가 아닌, 전국석차 그 자체를 대표 지표로 사용하는 것을 권장합니다.</t>
    <phoneticPr fontId="1" type="noConversion"/>
  </si>
  <si>
    <t>수시모집 합격자도 엄연한 수능 응시자로서 석차를 부여받는 것이 타당하므로, 수시모집 합격자를 전국석차 산정 과정에서 제외하지 않았습니다.</t>
    <phoneticPr fontId="1" type="noConversion"/>
  </si>
  <si>
    <t>지원 자격을 만족시키지 못하더라도 점수를 연산할 수 있는 경우에는 전국석차에 포함되어 있습니다. (예: 과학I+II 조합 미충족시에도 서울대 석차에 포함)</t>
    <phoneticPr fontId="1" type="noConversion"/>
  </si>
  <si>
    <t>*단순표점합 = 국B+수A+영B+과탐2과목의표준점수 | Fait점수 = 국B표점+수A표점+영B표점+[과탐2과목의 백분위를 평균한 값]</t>
    <phoneticPr fontId="1" type="noConversion"/>
  </si>
  <si>
    <t>B형백분위*</t>
    <phoneticPr fontId="1" type="noConversion"/>
  </si>
  <si>
    <r>
      <t>단순표점합</t>
    </r>
    <r>
      <rPr>
        <sz val="11"/>
        <color theme="9"/>
        <rFont val="나눔명조OTF"/>
        <family val="1"/>
        <charset val="129"/>
      </rPr>
      <t>*</t>
    </r>
    <phoneticPr fontId="1" type="noConversion"/>
  </si>
  <si>
    <r>
      <t>Fait점수</t>
    </r>
    <r>
      <rPr>
        <sz val="11"/>
        <color theme="9"/>
        <rFont val="나눔명조OTF"/>
        <family val="1"/>
        <charset val="129"/>
      </rPr>
      <t>*</t>
    </r>
    <phoneticPr fontId="1" type="noConversion"/>
  </si>
  <si>
    <t>국+수+영</t>
    <phoneticPr fontId="1" type="noConversion"/>
  </si>
  <si>
    <r>
      <t>고려대</t>
    </r>
    <r>
      <rPr>
        <sz val="8"/>
        <color theme="1"/>
        <rFont val="나눔명조OTF"/>
        <family val="1"/>
        <charset val="129"/>
      </rPr>
      <t>우선</t>
    </r>
    <phoneticPr fontId="1" type="noConversion"/>
  </si>
  <si>
    <r>
      <t>성균관</t>
    </r>
    <r>
      <rPr>
        <sz val="8"/>
        <color theme="1"/>
        <rFont val="나눔명조OTF"/>
        <family val="1"/>
        <charset val="129"/>
      </rPr>
      <t>우선</t>
    </r>
  </si>
  <si>
    <r>
      <t>성균관</t>
    </r>
    <r>
      <rPr>
        <sz val="8"/>
        <color theme="1"/>
        <rFont val="나눔명조OTF"/>
        <family val="1"/>
        <charset val="129"/>
      </rPr>
      <t>일반</t>
    </r>
  </si>
  <si>
    <t>한양대</t>
    <phoneticPr fontId="1" type="noConversion"/>
  </si>
  <si>
    <t>중앙대</t>
    <phoneticPr fontId="1" type="noConversion"/>
  </si>
  <si>
    <t>연세대
문과</t>
    <phoneticPr fontId="1" type="noConversion"/>
  </si>
  <si>
    <t>2013.12.26</t>
    <phoneticPr fontId="1" type="noConversion"/>
  </si>
  <si>
    <t>2014 물량공급 계산기 이과 FINAL V2</t>
    <phoneticPr fontId="1" type="noConversion"/>
  </si>
  <si>
    <t>FINAL V2</t>
    <phoneticPr fontId="1" type="noConversion"/>
  </si>
  <si>
    <t>오르비 칼레, 유료버전 적용</t>
    <phoneticPr fontId="1" type="noConversion"/>
  </si>
  <si>
    <t>2014 물량공급 계산기 이과  FINAL V2</t>
    <phoneticPr fontId="1" type="noConversion"/>
  </si>
  <si>
    <t>2014 물량공급 계산기 의대  FINAL V2</t>
    <phoneticPr fontId="1" type="noConversion"/>
  </si>
  <si>
    <t>2014 물량공급 계산기 치대 FINAL V2</t>
    <phoneticPr fontId="1" type="noConversion"/>
  </si>
  <si>
    <t>2014 물량공급 계산기 이과  FINAL V2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</si>
</sst>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_);[Red]\(0.00\)"/>
    <numFmt numFmtId="177" formatCode="#,##0_ "/>
    <numFmt numFmtId="178" formatCode="0.000_);[Red]\(0.000\)"/>
    <numFmt numFmtId="179" formatCode="0.000"/>
    <numFmt numFmtId="180" formatCode="0.000%"/>
    <numFmt numFmtId="181" formatCode="0_);[Red]\(0\)"/>
    <numFmt numFmtId="182" formatCode="0.0_);[Red]\(0.0\)"/>
    <numFmt numFmtId="183" formatCode="0.0"/>
  </numFmts>
  <fonts count="5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name val="돋움"/>
      <family val="3"/>
      <charset val="129"/>
    </font>
    <font>
      <sz val="10"/>
      <color indexed="8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8"/>
      <name val="맑은 고딕"/>
      <family val="3"/>
      <charset val="129"/>
    </font>
    <font>
      <u/>
      <sz val="11"/>
      <color theme="10"/>
      <name val="맑은 고딕"/>
      <family val="2"/>
      <charset val="129"/>
      <scheme val="minor"/>
    </font>
    <font>
      <b/>
      <sz val="9"/>
      <color rgb="FFFFFFFF"/>
      <name val="돋움"/>
      <family val="3"/>
      <charset val="129"/>
    </font>
    <font>
      <b/>
      <sz val="9"/>
      <color rgb="FFFF4600"/>
      <name val="돋움"/>
      <family val="3"/>
      <charset val="129"/>
    </font>
    <font>
      <b/>
      <sz val="8"/>
      <color rgb="FFDFB78C"/>
      <name val="돋움"/>
      <family val="3"/>
      <charset val="129"/>
    </font>
    <font>
      <b/>
      <sz val="9"/>
      <color rgb="FF333333"/>
      <name val="돋움"/>
      <family val="3"/>
      <charset val="129"/>
    </font>
    <font>
      <sz val="9"/>
      <color rgb="FF333333"/>
      <name val="돋움"/>
      <family val="3"/>
      <charset val="129"/>
    </font>
    <font>
      <sz val="11"/>
      <color theme="1"/>
      <name val="나눔"/>
      <family val="1"/>
      <charset val="129"/>
    </font>
    <font>
      <b/>
      <sz val="11"/>
      <color theme="1"/>
      <name val="나눔"/>
      <family val="1"/>
      <charset val="129"/>
    </font>
    <font>
      <b/>
      <sz val="18"/>
      <color theme="1"/>
      <name val="나눔명조OTF ExtraBold"/>
      <family val="1"/>
      <charset val="129"/>
    </font>
    <font>
      <sz val="11"/>
      <color theme="1"/>
      <name val="나눔명"/>
      <family val="1"/>
      <charset val="129"/>
    </font>
    <font>
      <b/>
      <sz val="11"/>
      <color theme="1"/>
      <name val="나눔명조OTF"/>
      <family val="1"/>
      <charset val="129"/>
    </font>
    <font>
      <sz val="16"/>
      <color theme="1"/>
      <name val="맑은 고딕"/>
      <family val="3"/>
      <charset val="129"/>
      <scheme val="minor"/>
    </font>
    <font>
      <b/>
      <sz val="11"/>
      <color theme="1"/>
      <name val="나눔명"/>
      <family val="1"/>
      <charset val="129"/>
    </font>
    <font>
      <b/>
      <sz val="11"/>
      <color theme="1"/>
      <name val="맑은 고딕"/>
      <family val="3"/>
      <charset val="129"/>
      <scheme val="minor"/>
    </font>
    <font>
      <b/>
      <sz val="14"/>
      <name val="나눔명조OTF ExtraBold"/>
      <family val="1"/>
      <charset val="129"/>
    </font>
    <font>
      <sz val="11"/>
      <color theme="1"/>
      <name val="나눔명조"/>
      <family val="1"/>
      <charset val="129"/>
    </font>
    <font>
      <sz val="11"/>
      <color rgb="FFFF0000"/>
      <name val="나눔명조"/>
      <family val="1"/>
      <charset val="129"/>
    </font>
    <font>
      <u/>
      <sz val="11"/>
      <color theme="10"/>
      <name val="나눔명조"/>
      <family val="1"/>
      <charset val="129"/>
    </font>
    <font>
      <sz val="11"/>
      <color theme="1"/>
      <name val="바탕"/>
      <family val="1"/>
      <charset val="129"/>
    </font>
    <font>
      <sz val="10"/>
      <color theme="1"/>
      <name val="바탕"/>
      <family val="1"/>
      <charset val="129"/>
    </font>
    <font>
      <b/>
      <sz val="11"/>
      <color theme="1"/>
      <name val="바탕"/>
      <family val="1"/>
      <charset val="129"/>
    </font>
    <font>
      <b/>
      <sz val="10"/>
      <color rgb="FF000000"/>
      <name val="돋움"/>
      <family val="3"/>
      <charset val="129"/>
    </font>
    <font>
      <sz val="10"/>
      <color rgb="FF000000"/>
      <name val="돋움"/>
      <family val="3"/>
      <charset val="129"/>
    </font>
    <font>
      <b/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b/>
      <sz val="10"/>
      <color rgb="FF5E9ED3"/>
      <name val="돋움체"/>
      <family val="3"/>
      <charset val="129"/>
    </font>
    <font>
      <b/>
      <sz val="10"/>
      <color rgb="FF000000"/>
      <name val="굴림"/>
      <family val="3"/>
      <charset val="129"/>
    </font>
    <font>
      <b/>
      <sz val="14"/>
      <color theme="0"/>
      <name val="나눔명조OTF ExtraBold"/>
      <family val="1"/>
      <charset val="129"/>
    </font>
    <font>
      <sz val="14"/>
      <color rgb="FFFF0000"/>
      <name val="바탕"/>
      <family val="1"/>
      <charset val="129"/>
    </font>
    <font>
      <sz val="9"/>
      <color rgb="FF555555"/>
      <name val="돋움"/>
      <family val="3"/>
      <charset val="129"/>
    </font>
    <font>
      <b/>
      <sz val="9"/>
      <color rgb="FFFFFFFF"/>
      <name val="-윤고딕320"/>
      <family val="3"/>
      <charset val="129"/>
    </font>
    <font>
      <sz val="9"/>
      <color rgb="FF000000"/>
      <name val="-윤고딕320"/>
      <family val="3"/>
      <charset val="129"/>
    </font>
    <font>
      <b/>
      <sz val="9"/>
      <color rgb="FF000000"/>
      <name val="-윤고딕320"/>
      <family val="3"/>
      <charset val="129"/>
    </font>
    <font>
      <b/>
      <sz val="11"/>
      <color rgb="FF000000"/>
      <name val="나눔명조OTF"/>
      <family val="1"/>
      <charset val="129"/>
    </font>
    <font>
      <sz val="10"/>
      <color theme="1"/>
      <name val="나눔명조OTF"/>
      <family val="1"/>
      <charset val="129"/>
    </font>
    <font>
      <sz val="10"/>
      <color rgb="FF000000"/>
      <name val="나눔명조OTF"/>
      <family val="1"/>
      <charset val="129"/>
    </font>
    <font>
      <sz val="10"/>
      <color rgb="FFFF0000"/>
      <name val="나눔명조OTF"/>
      <family val="1"/>
      <charset val="129"/>
    </font>
    <font>
      <sz val="11"/>
      <color theme="1"/>
      <name val="나눔명조OTF"/>
      <family val="1"/>
      <charset val="129"/>
    </font>
    <font>
      <sz val="11"/>
      <color theme="9"/>
      <name val="나눔명조OTF"/>
      <family val="1"/>
      <charset val="129"/>
    </font>
    <font>
      <sz val="8"/>
      <color theme="1"/>
      <name val="나눔명조OTF"/>
      <family val="1"/>
      <charset val="129"/>
    </font>
  </fonts>
  <fills count="3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B4F2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8FC81"/>
        <bgColor indexed="64"/>
      </patternFill>
    </fill>
    <fill>
      <gradientFill degree="90">
        <stop position="0">
          <color theme="0"/>
        </stop>
        <stop position="1">
          <color rgb="FFFFC000"/>
        </stop>
      </gradientFill>
    </fill>
    <fill>
      <gradientFill degree="90">
        <stop position="0">
          <color theme="9" tint="0.80001220740379042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7" tint="0.80001220740379042"/>
        </stop>
      </gradient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theme="4" tint="0.80001220740379042"/>
        </stop>
      </gradientFill>
    </fill>
    <fill>
      <patternFill patternType="solid">
        <fgColor rgb="FFFFFF00"/>
        <bgColor indexed="64"/>
      </patternFill>
    </fill>
    <fill>
      <gradientFill degree="90">
        <stop position="0">
          <color theme="7" tint="0.59999389629810485"/>
        </stop>
        <stop position="1">
          <color theme="0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gradientFill degree="45">
        <stop position="0">
          <color theme="0"/>
        </stop>
        <stop position="1">
          <color theme="7" tint="0.80001220740379042"/>
        </stop>
      </gradientFill>
    </fill>
    <fill>
      <patternFill patternType="solid">
        <fgColor rgb="FFD9D9D9"/>
        <bgColor indexed="64"/>
      </patternFill>
    </fill>
    <fill>
      <gradientFill>
        <stop position="0">
          <color theme="0"/>
        </stop>
        <stop position="1">
          <color theme="7" tint="0.40000610370189521"/>
        </stop>
      </gradientFill>
    </fill>
    <fill>
      <gradientFill>
        <stop position="0">
          <color theme="7" tint="0.80001220740379042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rgb="FFCC99FF"/>
        </stop>
      </gradientFill>
    </fill>
    <fill>
      <patternFill patternType="solid">
        <fgColor rgb="FFD8E4BC"/>
        <bgColor indexed="64"/>
      </pattern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gradientFill degree="90">
        <stop position="0">
          <color theme="0"/>
        </stop>
        <stop position="1">
          <color theme="9" tint="0.40000610370189521"/>
        </stop>
      </gradientFill>
    </fill>
    <fill>
      <patternFill patternType="solid">
        <fgColor rgb="FFFCD5B4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5D5D5D"/>
        <bgColor indexed="64"/>
      </patternFill>
    </fill>
    <fill>
      <patternFill patternType="solid">
        <fgColor rgb="FFC1D6ED"/>
        <bgColor indexed="64"/>
      </patternFill>
    </fill>
    <fill>
      <patternFill patternType="solid">
        <fgColor rgb="FFE8B8B8"/>
        <bgColor indexed="64"/>
      </patternFill>
    </fill>
    <fill>
      <patternFill patternType="solid">
        <fgColor rgb="FFC2DFA5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5F4628"/>
      </left>
      <right style="medium">
        <color rgb="FF5F4628"/>
      </right>
      <top style="medium">
        <color rgb="FF5A4022"/>
      </top>
      <bottom style="medium">
        <color rgb="FF5A4022"/>
      </bottom>
      <diagonal/>
    </border>
    <border>
      <left style="medium">
        <color rgb="FFDDDDDD"/>
      </left>
      <right style="medium">
        <color rgb="FFDDDDDD"/>
      </right>
      <top style="medium">
        <color rgb="FFCCCCCC"/>
      </top>
      <bottom style="medium">
        <color rgb="FFCCCCCC"/>
      </bottom>
      <diagonal/>
    </border>
    <border>
      <left style="medium">
        <color rgb="FFC4E0BE"/>
      </left>
      <right style="medium">
        <color rgb="FFC4E0BE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9" tint="0.3999450666829432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5" fillId="0" borderId="1" xfId="5" applyFont="1" applyFill="1" applyBorder="1" applyAlignment="1">
      <alignment horizontal="center"/>
    </xf>
    <xf numFmtId="0" fontId="7" fillId="0" borderId="1" xfId="5" applyNumberFormat="1" applyFont="1" applyFill="1" applyBorder="1" applyAlignment="1">
      <alignment horizontal="center" vertical="center"/>
    </xf>
    <xf numFmtId="38" fontId="7" fillId="0" borderId="1" xfId="5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0" fontId="5" fillId="0" borderId="1" xfId="5" applyNumberFormat="1" applyFont="1" applyFill="1" applyBorder="1" applyAlignment="1">
      <alignment horizontal="center"/>
    </xf>
    <xf numFmtId="0" fontId="3" fillId="0" borderId="1" xfId="5" applyNumberFormat="1" applyFont="1" applyFill="1" applyBorder="1" applyAlignment="1">
      <alignment horizontal="center"/>
    </xf>
    <xf numFmtId="0" fontId="6" fillId="2" borderId="1" xfId="3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5" applyFont="1" applyFill="1" applyBorder="1" applyAlignment="1">
      <alignment horizontal="center"/>
    </xf>
    <xf numFmtId="0" fontId="7" fillId="0" borderId="1" xfId="5" applyNumberFormat="1" applyFont="1" applyFill="1" applyBorder="1" applyAlignment="1">
      <alignment horizontal="center" vertical="center"/>
    </xf>
    <xf numFmtId="38" fontId="7" fillId="0" borderId="1" xfId="5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0" fontId="5" fillId="0" borderId="1" xfId="5" applyNumberFormat="1" applyFont="1" applyFill="1" applyBorder="1" applyAlignment="1">
      <alignment horizontal="center"/>
    </xf>
    <xf numFmtId="0" fontId="3" fillId="0" borderId="1" xfId="5" applyNumberFormat="1" applyFont="1" applyFill="1" applyBorder="1" applyAlignment="1">
      <alignment horizontal="center"/>
    </xf>
    <xf numFmtId="0" fontId="6" fillId="2" borderId="1" xfId="3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5" fillId="0" borderId="1" xfId="5" applyFont="1" applyFill="1" applyBorder="1" applyAlignment="1">
      <alignment horizontal="center"/>
    </xf>
    <xf numFmtId="0" fontId="7" fillId="0" borderId="1" xfId="5" applyNumberFormat="1" applyFont="1" applyFill="1" applyBorder="1" applyAlignment="1">
      <alignment horizontal="center" vertical="center"/>
    </xf>
    <xf numFmtId="38" fontId="7" fillId="0" borderId="1" xfId="5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0" fontId="5" fillId="0" borderId="1" xfId="5" applyNumberFormat="1" applyFont="1" applyFill="1" applyBorder="1" applyAlignment="1">
      <alignment horizontal="center"/>
    </xf>
    <xf numFmtId="0" fontId="3" fillId="0" borderId="1" xfId="5" applyNumberFormat="1" applyFont="1" applyFill="1" applyBorder="1" applyAlignment="1">
      <alignment horizontal="center"/>
    </xf>
    <xf numFmtId="38" fontId="6" fillId="2" borderId="1" xfId="1" applyNumberFormat="1" applyFont="1" applyFill="1" applyBorder="1" applyAlignment="1">
      <alignment horizontal="center" vertical="center"/>
    </xf>
    <xf numFmtId="177" fontId="6" fillId="2" borderId="1" xfId="1" applyNumberFormat="1" applyFont="1" applyFill="1" applyBorder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/>
    </xf>
    <xf numFmtId="0" fontId="6" fillId="3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0" fontId="0" fillId="0" borderId="0" xfId="7" applyNumberFormat="1" applyFont="1">
      <alignment vertical="center"/>
    </xf>
    <xf numFmtId="0" fontId="0" fillId="0" borderId="1" xfId="0" applyBorder="1" applyAlignment="1">
      <alignment horizontal="right" vertical="center"/>
    </xf>
    <xf numFmtId="10" fontId="0" fillId="0" borderId="1" xfId="7" applyNumberFormat="1" applyFont="1" applyBorder="1">
      <alignment vertical="center"/>
    </xf>
    <xf numFmtId="10" fontId="0" fillId="0" borderId="0" xfId="0" applyNumberFormat="1">
      <alignment vertical="center"/>
    </xf>
    <xf numFmtId="10" fontId="0" fillId="0" borderId="1" xfId="7" applyNumberFormat="1" applyFont="1" applyBorder="1" applyAlignment="1">
      <alignment horizontal="right" vertical="center"/>
    </xf>
    <xf numFmtId="9" fontId="0" fillId="0" borderId="1" xfId="7" applyFont="1" applyBorder="1" applyAlignment="1">
      <alignment horizontal="right" vertical="center"/>
    </xf>
    <xf numFmtId="179" fontId="0" fillId="0" borderId="1" xfId="0" applyNumberFormat="1" applyBorder="1" applyAlignment="1">
      <alignment horizontal="center" vertical="center"/>
    </xf>
    <xf numFmtId="0" fontId="9" fillId="4" borderId="1" xfId="5" applyFont="1" applyFill="1" applyBorder="1" applyAlignment="1">
      <alignment horizontal="center" vertical="center" wrapText="1"/>
    </xf>
    <xf numFmtId="0" fontId="3" fillId="4" borderId="1" xfId="5" applyFont="1" applyFill="1" applyBorder="1" applyAlignment="1">
      <alignment horizontal="center" vertical="center"/>
    </xf>
    <xf numFmtId="0" fontId="9" fillId="5" borderId="1" xfId="5" applyFont="1" applyFill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/>
    </xf>
    <xf numFmtId="0" fontId="3" fillId="0" borderId="1" xfId="5" applyFont="1" applyBorder="1">
      <alignment vertical="center"/>
    </xf>
    <xf numFmtId="0" fontId="5" fillId="0" borderId="1" xfId="5" applyFont="1" applyBorder="1" applyAlignment="1">
      <alignment horizontal="center" vertical="center"/>
    </xf>
    <xf numFmtId="0" fontId="11" fillId="0" borderId="0" xfId="8" applyProtection="1">
      <alignment vertical="center"/>
      <protection locked="0"/>
    </xf>
    <xf numFmtId="0" fontId="12" fillId="6" borderId="14" xfId="0" applyFont="1" applyFill="1" applyBorder="1" applyAlignment="1">
      <alignment horizontal="center" vertical="center" wrapText="1"/>
    </xf>
    <xf numFmtId="0" fontId="15" fillId="7" borderId="15" xfId="0" applyFont="1" applyFill="1" applyBorder="1" applyAlignment="1">
      <alignment horizontal="center" vertical="center" wrapText="1"/>
    </xf>
    <xf numFmtId="10" fontId="16" fillId="7" borderId="15" xfId="0" applyNumberFormat="1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3" fontId="15" fillId="7" borderId="15" xfId="0" applyNumberFormat="1" applyFont="1" applyFill="1" applyBorder="1" applyAlignment="1">
      <alignment horizontal="center" vertical="center" wrapText="1"/>
    </xf>
    <xf numFmtId="0" fontId="16" fillId="8" borderId="15" xfId="0" applyFont="1" applyFill="1" applyBorder="1" applyAlignment="1">
      <alignment horizontal="center" vertical="center" wrapText="1"/>
    </xf>
    <xf numFmtId="0" fontId="16" fillId="7" borderId="16" xfId="0" applyFont="1" applyFill="1" applyBorder="1" applyAlignment="1">
      <alignment horizontal="center" vertical="center" wrapText="1"/>
    </xf>
    <xf numFmtId="3" fontId="15" fillId="8" borderId="15" xfId="0" applyNumberFormat="1" applyFont="1" applyFill="1" applyBorder="1" applyAlignment="1">
      <alignment horizontal="center" vertical="center" wrapText="1"/>
    </xf>
    <xf numFmtId="0" fontId="15" fillId="7" borderId="16" xfId="0" applyFont="1" applyFill="1" applyBorder="1" applyAlignment="1">
      <alignment horizontal="center" vertical="center" wrapText="1"/>
    </xf>
    <xf numFmtId="3" fontId="15" fillId="7" borderId="16" xfId="0" applyNumberFormat="1" applyFont="1" applyFill="1" applyBorder="1" applyAlignment="1">
      <alignment horizontal="center" vertical="center" wrapText="1"/>
    </xf>
    <xf numFmtId="0" fontId="15" fillId="8" borderId="15" xfId="0" applyFont="1" applyFill="1" applyBorder="1" applyAlignment="1">
      <alignment horizontal="center" vertical="center" wrapText="1"/>
    </xf>
    <xf numFmtId="10" fontId="16" fillId="8" borderId="15" xfId="0" applyNumberFormat="1" applyFont="1" applyFill="1" applyBorder="1" applyAlignment="1">
      <alignment horizontal="center" vertical="center" wrapText="1"/>
    </xf>
    <xf numFmtId="10" fontId="16" fillId="7" borderId="16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right" vertical="center"/>
    </xf>
    <xf numFmtId="0" fontId="18" fillId="9" borderId="1" xfId="0" applyFont="1" applyFill="1" applyBorder="1" applyAlignment="1" applyProtection="1">
      <alignment horizontal="center" vertical="center"/>
      <protection locked="0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>
      <alignment vertical="center"/>
    </xf>
    <xf numFmtId="0" fontId="20" fillId="0" borderId="19" xfId="0" applyFont="1" applyBorder="1">
      <alignment vertical="center"/>
    </xf>
    <xf numFmtId="0" fontId="20" fillId="0" borderId="0" xfId="0" applyFont="1">
      <alignment vertical="center"/>
    </xf>
    <xf numFmtId="0" fontId="21" fillId="10" borderId="1" xfId="0" applyFont="1" applyFill="1" applyBorder="1" applyAlignment="1" applyProtection="1">
      <alignment horizontal="left" vertical="center"/>
      <protection locked="0"/>
    </xf>
    <xf numFmtId="0" fontId="2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vertical="center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23" fillId="10" borderId="0" xfId="0" applyFont="1" applyFill="1" applyBorder="1" applyAlignment="1" applyProtection="1">
      <alignment horizontal="left" vertical="center"/>
      <protection locked="0"/>
    </xf>
    <xf numFmtId="0" fontId="0" fillId="0" borderId="1" xfId="0" applyBorder="1">
      <alignment vertical="center"/>
    </xf>
    <xf numFmtId="0" fontId="24" fillId="12" borderId="20" xfId="0" applyFont="1" applyFill="1" applyBorder="1" applyAlignment="1" applyProtection="1">
      <alignment horizontal="center" vertical="center"/>
      <protection locked="0"/>
    </xf>
    <xf numFmtId="0" fontId="24" fillId="13" borderId="21" xfId="0" applyFont="1" applyFill="1" applyBorder="1" applyAlignment="1" applyProtection="1">
      <alignment horizontal="center" vertical="center"/>
      <protection locked="0"/>
    </xf>
    <xf numFmtId="0" fontId="24" fillId="0" borderId="21" xfId="0" applyFont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8" fillId="10" borderId="1" xfId="0" applyFont="1" applyFill="1" applyBorder="1" applyAlignment="1" applyProtection="1">
      <alignment horizontal="right" vertical="center"/>
      <protection locked="0"/>
    </xf>
    <xf numFmtId="0" fontId="18" fillId="14" borderId="1" xfId="0" applyFont="1" applyFill="1" applyBorder="1" applyAlignment="1">
      <alignment horizontal="center" vertical="center"/>
    </xf>
    <xf numFmtId="0" fontId="18" fillId="14" borderId="1" xfId="0" applyFont="1" applyFill="1" applyBorder="1" applyAlignment="1" applyProtection="1">
      <alignment horizontal="center" vertical="center"/>
      <protection locked="0"/>
    </xf>
    <xf numFmtId="0" fontId="18" fillId="10" borderId="1" xfId="0" applyFont="1" applyFill="1" applyBorder="1" applyAlignment="1" applyProtection="1">
      <alignment horizontal="right" vertical="center" wrapText="1"/>
      <protection locked="0"/>
    </xf>
    <xf numFmtId="176" fontId="17" fillId="0" borderId="1" xfId="0" applyNumberFormat="1" applyFont="1" applyBorder="1" applyAlignment="1" applyProtection="1">
      <alignment horizontal="right" vertical="center"/>
      <protection locked="0"/>
    </xf>
    <xf numFmtId="178" fontId="17" fillId="0" borderId="1" xfId="0" applyNumberFormat="1" applyFont="1" applyBorder="1" applyAlignment="1" applyProtection="1">
      <alignment horizontal="right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179" fontId="17" fillId="0" borderId="1" xfId="0" applyNumberFormat="1" applyFont="1" applyBorder="1" applyAlignment="1" applyProtection="1">
      <alignment horizontal="right" vertical="center"/>
      <protection locked="0"/>
    </xf>
    <xf numFmtId="0" fontId="0" fillId="16" borderId="0" xfId="0" applyFill="1">
      <alignment vertical="center"/>
    </xf>
    <xf numFmtId="179" fontId="18" fillId="15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>
      <alignment vertical="center"/>
    </xf>
    <xf numFmtId="0" fontId="17" fillId="0" borderId="0" xfId="0" applyFont="1" applyBorder="1" applyAlignment="1">
      <alignment horizontal="center" vertical="center"/>
    </xf>
    <xf numFmtId="180" fontId="0" fillId="0" borderId="0" xfId="7" applyNumberFormat="1" applyFont="1">
      <alignment vertical="center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8" fillId="10" borderId="2" xfId="0" applyFont="1" applyFill="1" applyBorder="1" applyAlignment="1" applyProtection="1">
      <alignment horizontal="right" vertical="center"/>
      <protection locked="0"/>
    </xf>
    <xf numFmtId="179" fontId="0" fillId="0" borderId="0" xfId="0" applyNumberFormat="1">
      <alignment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179" fontId="17" fillId="0" borderId="1" xfId="0" applyNumberFormat="1" applyFont="1" applyFill="1" applyBorder="1" applyAlignment="1" applyProtection="1">
      <alignment horizontal="right" vertical="center"/>
      <protection locked="0"/>
    </xf>
    <xf numFmtId="178" fontId="17" fillId="0" borderId="1" xfId="0" applyNumberFormat="1" applyFont="1" applyFill="1" applyBorder="1" applyAlignment="1" applyProtection="1">
      <alignment horizontal="right" vertical="center"/>
      <protection locked="0"/>
    </xf>
    <xf numFmtId="178" fontId="17" fillId="0" borderId="22" xfId="0" applyNumberFormat="1" applyFont="1" applyBorder="1" applyAlignment="1" applyProtection="1">
      <alignment horizontal="right" vertical="center"/>
      <protection locked="0"/>
    </xf>
    <xf numFmtId="0" fontId="17" fillId="0" borderId="1" xfId="0" applyFont="1" applyBorder="1" applyAlignment="1" applyProtection="1">
      <alignment horizontal="center" vertical="center"/>
    </xf>
    <xf numFmtId="0" fontId="11" fillId="0" borderId="18" xfId="8" applyBorder="1">
      <alignment vertical="center"/>
    </xf>
    <xf numFmtId="0" fontId="26" fillId="0" borderId="0" xfId="0" applyFont="1">
      <alignment vertical="center"/>
    </xf>
    <xf numFmtId="0" fontId="27" fillId="0" borderId="0" xfId="0" quotePrefix="1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>
      <alignment vertical="center"/>
    </xf>
    <xf numFmtId="0" fontId="26" fillId="0" borderId="0" xfId="0" applyFont="1" applyAlignment="1">
      <alignment vertical="center"/>
    </xf>
    <xf numFmtId="0" fontId="28" fillId="0" borderId="0" xfId="8" applyFont="1">
      <alignment vertical="center"/>
    </xf>
    <xf numFmtId="0" fontId="16" fillId="8" borderId="16" xfId="0" applyFont="1" applyFill="1" applyBorder="1" applyAlignment="1">
      <alignment horizontal="center" vertical="center" wrapText="1"/>
    </xf>
    <xf numFmtId="0" fontId="15" fillId="8" borderId="16" xfId="0" applyFont="1" applyFill="1" applyBorder="1" applyAlignment="1">
      <alignment horizontal="center" vertical="center" wrapText="1"/>
    </xf>
    <xf numFmtId="10" fontId="16" fillId="8" borderId="16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6" fillId="0" borderId="0" xfId="0" applyFont="1" applyAlignment="1">
      <alignment horizontal="center" vertical="center"/>
    </xf>
    <xf numFmtId="180" fontId="27" fillId="0" borderId="0" xfId="7" applyNumberFormat="1" applyFont="1" applyAlignment="1">
      <alignment vertical="center"/>
    </xf>
    <xf numFmtId="180" fontId="26" fillId="0" borderId="0" xfId="7" applyNumberFormat="1" applyFont="1" applyAlignment="1">
      <alignment vertical="center"/>
    </xf>
    <xf numFmtId="180" fontId="26" fillId="0" borderId="0" xfId="7" applyNumberFormat="1" applyFont="1" applyAlignment="1">
      <alignment horizontal="center" vertical="center"/>
    </xf>
    <xf numFmtId="180" fontId="27" fillId="0" borderId="0" xfId="7" applyNumberFormat="1" applyFont="1">
      <alignment vertical="center"/>
    </xf>
    <xf numFmtId="180" fontId="26" fillId="0" borderId="0" xfId="7" applyNumberFormat="1" applyFont="1">
      <alignment vertical="center"/>
    </xf>
    <xf numFmtId="10" fontId="0" fillId="0" borderId="0" xfId="0" applyNumberFormat="1" applyAlignment="1">
      <alignment horizontal="center" vertical="center"/>
    </xf>
    <xf numFmtId="181" fontId="0" fillId="0" borderId="0" xfId="7" applyNumberFormat="1" applyFont="1" applyAlignment="1">
      <alignment horizontal="center" vertical="center"/>
    </xf>
    <xf numFmtId="0" fontId="26" fillId="0" borderId="0" xfId="0" applyFont="1" applyAlignment="1" applyProtection="1">
      <alignment horizontal="center" vertical="center"/>
    </xf>
    <xf numFmtId="178" fontId="0" fillId="0" borderId="0" xfId="0" applyNumberFormat="1" applyAlignment="1" applyProtection="1">
      <alignment horizontal="center" vertical="center"/>
    </xf>
    <xf numFmtId="181" fontId="0" fillId="0" borderId="0" xfId="0" applyNumberFormat="1" applyAlignment="1">
      <alignment horizontal="center" vertical="center"/>
    </xf>
    <xf numFmtId="180" fontId="0" fillId="0" borderId="0" xfId="7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0" fontId="0" fillId="0" borderId="0" xfId="7" applyNumberFormat="1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0" fillId="0" borderId="1" xfId="0" applyBorder="1" applyAlignment="1" applyProtection="1">
      <alignment horizontal="center" vertical="center"/>
      <protection locked="0"/>
    </xf>
    <xf numFmtId="181" fontId="23" fillId="10" borderId="0" xfId="0" applyNumberFormat="1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vertical="center"/>
    </xf>
    <xf numFmtId="0" fontId="32" fillId="7" borderId="23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/>
    </xf>
    <xf numFmtId="0" fontId="32" fillId="7" borderId="24" xfId="0" applyFont="1" applyFill="1" applyBorder="1" applyAlignment="1">
      <alignment horizontal="center" vertical="center"/>
    </xf>
    <xf numFmtId="0" fontId="34" fillId="7" borderId="23" xfId="0" applyFont="1" applyFill="1" applyBorder="1" applyAlignment="1">
      <alignment horizontal="center" vertical="center"/>
    </xf>
    <xf numFmtId="0" fontId="35" fillId="7" borderId="1" xfId="0" applyFont="1" applyFill="1" applyBorder="1" applyAlignment="1">
      <alignment horizontal="center" vertical="center"/>
    </xf>
    <xf numFmtId="0" fontId="35" fillId="7" borderId="24" xfId="0" applyFont="1" applyFill="1" applyBorder="1" applyAlignment="1">
      <alignment horizontal="center" vertical="center"/>
    </xf>
    <xf numFmtId="0" fontId="34" fillId="7" borderId="25" xfId="0" applyFont="1" applyFill="1" applyBorder="1" applyAlignment="1">
      <alignment horizontal="center" vertical="center"/>
    </xf>
    <xf numFmtId="0" fontId="35" fillId="7" borderId="26" xfId="0" applyFont="1" applyFill="1" applyBorder="1" applyAlignment="1">
      <alignment horizontal="center" vertical="center"/>
    </xf>
    <xf numFmtId="0" fontId="35" fillId="7" borderId="27" xfId="0" applyFont="1" applyFill="1" applyBorder="1" applyAlignment="1">
      <alignment horizontal="center" vertical="center"/>
    </xf>
    <xf numFmtId="0" fontId="32" fillId="7" borderId="25" xfId="0" applyFont="1" applyFill="1" applyBorder="1" applyAlignment="1">
      <alignment horizontal="center" vertical="center"/>
    </xf>
    <xf numFmtId="0" fontId="33" fillId="7" borderId="26" xfId="0" applyFont="1" applyFill="1" applyBorder="1" applyAlignment="1">
      <alignment horizontal="center" vertical="center"/>
    </xf>
    <xf numFmtId="0" fontId="32" fillId="7" borderId="27" xfId="0" applyFont="1" applyFill="1" applyBorder="1" applyAlignment="1">
      <alignment horizontal="center" vertical="center"/>
    </xf>
    <xf numFmtId="0" fontId="34" fillId="7" borderId="31" xfId="0" applyFont="1" applyFill="1" applyBorder="1" applyAlignment="1">
      <alignment horizontal="center" vertical="center"/>
    </xf>
    <xf numFmtId="0" fontId="35" fillId="7" borderId="32" xfId="0" applyFont="1" applyFill="1" applyBorder="1" applyAlignment="1">
      <alignment horizontal="center" vertical="center"/>
    </xf>
    <xf numFmtId="0" fontId="35" fillId="7" borderId="33" xfId="0" applyFont="1" applyFill="1" applyBorder="1" applyAlignment="1">
      <alignment horizontal="center" vertical="center"/>
    </xf>
    <xf numFmtId="0" fontId="36" fillId="0" borderId="34" xfId="0" applyFont="1" applyBorder="1" applyAlignment="1">
      <alignment vertical="center"/>
    </xf>
    <xf numFmtId="0" fontId="36" fillId="0" borderId="35" xfId="0" applyFont="1" applyBorder="1" applyAlignment="1">
      <alignment vertical="center"/>
    </xf>
    <xf numFmtId="0" fontId="36" fillId="0" borderId="36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36" fillId="0" borderId="37" xfId="0" applyFont="1" applyBorder="1" applyAlignment="1">
      <alignment vertical="center"/>
    </xf>
    <xf numFmtId="0" fontId="36" fillId="0" borderId="34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34" xfId="0" applyFont="1" applyBorder="1" applyAlignment="1">
      <alignment horizontal="right" vertical="center"/>
    </xf>
    <xf numFmtId="0" fontId="36" fillId="0" borderId="35" xfId="0" applyFont="1" applyBorder="1" applyAlignment="1">
      <alignment horizontal="right" vertical="center"/>
    </xf>
    <xf numFmtId="0" fontId="34" fillId="7" borderId="38" xfId="0" applyFont="1" applyFill="1" applyBorder="1" applyAlignment="1">
      <alignment horizontal="center" vertical="center"/>
    </xf>
    <xf numFmtId="0" fontId="35" fillId="7" borderId="39" xfId="0" applyFont="1" applyFill="1" applyBorder="1" applyAlignment="1">
      <alignment horizontal="center" vertical="center"/>
    </xf>
    <xf numFmtId="0" fontId="34" fillId="7" borderId="4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4" fillId="7" borderId="33" xfId="0" applyFont="1" applyFill="1" applyBorder="1" applyAlignment="1">
      <alignment horizontal="center" vertical="center" wrapText="1"/>
    </xf>
    <xf numFmtId="3" fontId="15" fillId="8" borderId="16" xfId="0" applyNumberFormat="1" applyFont="1" applyFill="1" applyBorder="1" applyAlignment="1">
      <alignment horizontal="center" vertical="center" wrapText="1"/>
    </xf>
    <xf numFmtId="0" fontId="18" fillId="20" borderId="1" xfId="0" applyFont="1" applyFill="1" applyBorder="1" applyAlignment="1" applyProtection="1">
      <alignment horizontal="center" vertical="center"/>
      <protection locked="0"/>
    </xf>
    <xf numFmtId="9" fontId="17" fillId="20" borderId="1" xfId="0" applyNumberFormat="1" applyFont="1" applyFill="1" applyBorder="1" applyAlignment="1">
      <alignment horizontal="center" vertical="center"/>
    </xf>
    <xf numFmtId="0" fontId="17" fillId="20" borderId="1" xfId="0" applyFont="1" applyFill="1" applyBorder="1" applyAlignment="1">
      <alignment horizontal="right" vertical="center"/>
    </xf>
    <xf numFmtId="2" fontId="0" fillId="16" borderId="0" xfId="0" applyNumberFormat="1" applyFill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3" fontId="15" fillId="7" borderId="0" xfId="0" applyNumberFormat="1" applyFont="1" applyFill="1" applyBorder="1" applyAlignment="1">
      <alignment horizontal="center" vertical="center" wrapText="1"/>
    </xf>
    <xf numFmtId="3" fontId="15" fillId="8" borderId="0" xfId="0" applyNumberFormat="1" applyFont="1" applyFill="1" applyBorder="1" applyAlignment="1">
      <alignment horizontal="center" vertical="center" wrapText="1"/>
    </xf>
    <xf numFmtId="180" fontId="39" fillId="16" borderId="5" xfId="7" applyNumberFormat="1" applyFont="1" applyFill="1" applyBorder="1" applyAlignment="1">
      <alignment horizontal="center" vertical="center" wrapText="1"/>
    </xf>
    <xf numFmtId="180" fontId="12" fillId="6" borderId="14" xfId="7" applyNumberFormat="1" applyFont="1" applyFill="1" applyBorder="1" applyAlignment="1">
      <alignment horizontal="center" vertical="center" wrapText="1"/>
    </xf>
    <xf numFmtId="180" fontId="37" fillId="25" borderId="5" xfId="7" applyNumberFormat="1" applyFont="1" applyFill="1" applyBorder="1" applyAlignment="1">
      <alignment horizontal="center" vertical="center" wrapText="1"/>
    </xf>
    <xf numFmtId="0" fontId="39" fillId="21" borderId="11" xfId="0" applyFont="1" applyFill="1" applyBorder="1" applyAlignment="1">
      <alignment horizontal="center" vertical="center" wrapText="1"/>
    </xf>
    <xf numFmtId="0" fontId="38" fillId="21" borderId="13" xfId="0" applyFont="1" applyFill="1" applyBorder="1" applyAlignment="1">
      <alignment horizontal="center" vertical="center" wrapText="1"/>
    </xf>
    <xf numFmtId="0" fontId="38" fillId="21" borderId="41" xfId="0" applyFont="1" applyFill="1" applyBorder="1" applyAlignment="1">
      <alignment horizontal="center" vertical="center" wrapText="1"/>
    </xf>
    <xf numFmtId="0" fontId="39" fillId="21" borderId="5" xfId="0" applyFont="1" applyFill="1" applyBorder="1" applyAlignment="1">
      <alignment horizontal="center" vertical="center" wrapText="1"/>
    </xf>
    <xf numFmtId="182" fontId="0" fillId="0" borderId="0" xfId="7" applyNumberFormat="1" applyFont="1" applyAlignment="1">
      <alignment horizontal="center" vertical="center"/>
    </xf>
    <xf numFmtId="179" fontId="17" fillId="0" borderId="1" xfId="0" applyNumberFormat="1" applyFont="1" applyBorder="1" applyAlignment="1" applyProtection="1">
      <alignment horizontal="left" vertical="center"/>
      <protection locked="0"/>
    </xf>
    <xf numFmtId="180" fontId="17" fillId="0" borderId="1" xfId="7" applyNumberFormat="1" applyFont="1" applyBorder="1" applyAlignment="1" applyProtection="1">
      <alignment horizontal="left" vertical="center"/>
      <protection locked="0"/>
    </xf>
    <xf numFmtId="0" fontId="2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34" fillId="21" borderId="10" xfId="0" applyFont="1" applyFill="1" applyBorder="1" applyAlignment="1">
      <alignment horizontal="center" vertical="center" wrapText="1"/>
    </xf>
    <xf numFmtId="0" fontId="34" fillId="7" borderId="10" xfId="0" applyFont="1" applyFill="1" applyBorder="1" applyAlignment="1">
      <alignment horizontal="center" vertical="center" wrapText="1"/>
    </xf>
    <xf numFmtId="0" fontId="16" fillId="7" borderId="42" xfId="0" applyFont="1" applyFill="1" applyBorder="1" applyAlignment="1">
      <alignment horizontal="center" vertical="center" wrapText="1"/>
    </xf>
    <xf numFmtId="0" fontId="34" fillId="21" borderId="1" xfId="0" applyFont="1" applyFill="1" applyBorder="1" applyAlignment="1">
      <alignment horizontal="center" vertical="center" wrapText="1"/>
    </xf>
    <xf numFmtId="0" fontId="34" fillId="21" borderId="13" xfId="0" applyFont="1" applyFill="1" applyBorder="1" applyAlignment="1">
      <alignment horizontal="center" vertical="center" wrapText="1"/>
    </xf>
    <xf numFmtId="0" fontId="38" fillId="28" borderId="13" xfId="0" applyFont="1" applyFill="1" applyBorder="1" applyAlignment="1">
      <alignment horizontal="center" vertical="center" wrapText="1"/>
    </xf>
    <xf numFmtId="0" fontId="34" fillId="21" borderId="4" xfId="0" applyFont="1" applyFill="1" applyBorder="1" applyAlignment="1">
      <alignment horizontal="center" vertical="center" wrapText="1"/>
    </xf>
    <xf numFmtId="0" fontId="34" fillId="28" borderId="10" xfId="0" applyFont="1" applyFill="1" applyBorder="1" applyAlignment="1">
      <alignment horizontal="center" vertical="center" wrapText="1"/>
    </xf>
    <xf numFmtId="0" fontId="34" fillId="16" borderId="4" xfId="0" applyFont="1" applyFill="1" applyBorder="1" applyAlignment="1">
      <alignment horizontal="center" vertical="center" wrapText="1"/>
    </xf>
    <xf numFmtId="0" fontId="34" fillId="25" borderId="10" xfId="0" applyFont="1" applyFill="1" applyBorder="1" applyAlignment="1">
      <alignment horizontal="center" vertical="center" wrapText="1"/>
    </xf>
    <xf numFmtId="0" fontId="34" fillId="29" borderId="10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 wrapText="1"/>
    </xf>
    <xf numFmtId="0" fontId="0" fillId="0" borderId="0" xfId="0" applyBorder="1" applyAlignment="1"/>
    <xf numFmtId="176" fontId="0" fillId="0" borderId="0" xfId="0" applyNumberFormat="1" applyAlignment="1" applyProtection="1">
      <alignment vertical="center"/>
    </xf>
    <xf numFmtId="176" fontId="0" fillId="0" borderId="0" xfId="0" applyNumberFormat="1" applyAlignment="1">
      <alignment vertical="center"/>
    </xf>
    <xf numFmtId="0" fontId="17" fillId="20" borderId="1" xfId="0" applyFont="1" applyFill="1" applyBorder="1" applyAlignment="1">
      <alignment horizontal="center" vertical="center"/>
    </xf>
    <xf numFmtId="0" fontId="43" fillId="30" borderId="43" xfId="0" applyFont="1" applyFill="1" applyBorder="1" applyAlignment="1">
      <alignment horizontal="center" vertical="center" wrapText="1"/>
    </xf>
    <xf numFmtId="0" fontId="43" fillId="30" borderId="45" xfId="0" applyFont="1" applyFill="1" applyBorder="1" applyAlignment="1">
      <alignment horizontal="center" vertical="center" wrapText="1"/>
    </xf>
    <xf numFmtId="0" fontId="43" fillId="30" borderId="46" xfId="0" applyFont="1" applyFill="1" applyBorder="1" applyAlignment="1">
      <alignment horizontal="center" vertical="center" wrapText="1"/>
    </xf>
    <xf numFmtId="0" fontId="43" fillId="30" borderId="47" xfId="0" applyFont="1" applyFill="1" applyBorder="1" applyAlignment="1">
      <alignment horizontal="center" vertical="center" wrapText="1"/>
    </xf>
    <xf numFmtId="0" fontId="43" fillId="30" borderId="48" xfId="0" applyFont="1" applyFill="1" applyBorder="1" applyAlignment="1">
      <alignment horizontal="center" vertical="center" wrapText="1"/>
    </xf>
    <xf numFmtId="0" fontId="44" fillId="31" borderId="49" xfId="0" applyFont="1" applyFill="1" applyBorder="1" applyAlignment="1">
      <alignment horizontal="center" vertical="center" wrapText="1"/>
    </xf>
    <xf numFmtId="0" fontId="44" fillId="31" borderId="50" xfId="0" applyFont="1" applyFill="1" applyBorder="1" applyAlignment="1">
      <alignment horizontal="center" vertical="center" wrapText="1"/>
    </xf>
    <xf numFmtId="0" fontId="45" fillId="0" borderId="51" xfId="0" applyFont="1" applyBorder="1" applyAlignment="1">
      <alignment horizontal="center" vertical="center" wrapText="1"/>
    </xf>
    <xf numFmtId="0" fontId="44" fillId="31" borderId="52" xfId="0" applyFont="1" applyFill="1" applyBorder="1" applyAlignment="1">
      <alignment horizontal="center" vertical="center" wrapText="1"/>
    </xf>
    <xf numFmtId="0" fontId="44" fillId="31" borderId="53" xfId="0" applyFont="1" applyFill="1" applyBorder="1" applyAlignment="1">
      <alignment horizontal="center" vertical="center" wrapText="1"/>
    </xf>
    <xf numFmtId="0" fontId="45" fillId="0" borderId="54" xfId="0" applyFont="1" applyBorder="1" applyAlignment="1">
      <alignment horizontal="center" vertical="center" wrapText="1"/>
    </xf>
    <xf numFmtId="0" fontId="43" fillId="30" borderId="44" xfId="0" applyFont="1" applyFill="1" applyBorder="1" applyAlignment="1">
      <alignment horizontal="center" vertical="center" wrapText="1"/>
    </xf>
    <xf numFmtId="0" fontId="44" fillId="32" borderId="49" xfId="0" applyFont="1" applyFill="1" applyBorder="1" applyAlignment="1">
      <alignment horizontal="center" vertical="center" wrapText="1"/>
    </xf>
    <xf numFmtId="0" fontId="44" fillId="32" borderId="50" xfId="0" applyFont="1" applyFill="1" applyBorder="1" applyAlignment="1">
      <alignment horizontal="center" vertical="center" wrapText="1"/>
    </xf>
    <xf numFmtId="0" fontId="44" fillId="32" borderId="52" xfId="0" applyFont="1" applyFill="1" applyBorder="1" applyAlignment="1">
      <alignment horizontal="center" vertical="center" wrapText="1"/>
    </xf>
    <xf numFmtId="0" fontId="44" fillId="32" borderId="53" xfId="0" applyFont="1" applyFill="1" applyBorder="1" applyAlignment="1">
      <alignment horizontal="center" vertical="center" wrapText="1"/>
    </xf>
    <xf numFmtId="0" fontId="43" fillId="30" borderId="58" xfId="0" applyFont="1" applyFill="1" applyBorder="1" applyAlignment="1">
      <alignment horizontal="center" vertical="center" wrapText="1"/>
    </xf>
    <xf numFmtId="0" fontId="43" fillId="30" borderId="59" xfId="0" applyFont="1" applyFill="1" applyBorder="1" applyAlignment="1">
      <alignment horizontal="center" vertical="center" wrapText="1"/>
    </xf>
    <xf numFmtId="0" fontId="44" fillId="33" borderId="49" xfId="0" applyFont="1" applyFill="1" applyBorder="1" applyAlignment="1">
      <alignment horizontal="center" vertical="center" wrapText="1"/>
    </xf>
    <xf numFmtId="0" fontId="45" fillId="0" borderId="60" xfId="0" applyFont="1" applyBorder="1" applyAlignment="1">
      <alignment horizontal="center" vertical="center" wrapText="1"/>
    </xf>
    <xf numFmtId="0" fontId="45" fillId="0" borderId="61" xfId="0" applyFont="1" applyBorder="1" applyAlignment="1">
      <alignment horizontal="center" vertical="center" wrapText="1"/>
    </xf>
    <xf numFmtId="0" fontId="44" fillId="33" borderId="52" xfId="0" applyFont="1" applyFill="1" applyBorder="1" applyAlignment="1">
      <alignment horizontal="center" vertical="center" wrapText="1"/>
    </xf>
    <xf numFmtId="0" fontId="45" fillId="0" borderId="62" xfId="0" applyFont="1" applyBorder="1" applyAlignment="1">
      <alignment horizontal="center" vertical="center" wrapText="1"/>
    </xf>
    <xf numFmtId="0" fontId="45" fillId="0" borderId="63" xfId="0" applyFont="1" applyBorder="1" applyAlignment="1">
      <alignment horizontal="center" vertical="center" wrapText="1"/>
    </xf>
    <xf numFmtId="0" fontId="44" fillId="31" borderId="64" xfId="0" applyFont="1" applyFill="1" applyBorder="1" applyAlignment="1">
      <alignment horizontal="center" vertical="center" wrapText="1"/>
    </xf>
    <xf numFmtId="0" fontId="44" fillId="31" borderId="65" xfId="0" applyFont="1" applyFill="1" applyBorder="1" applyAlignment="1">
      <alignment horizontal="center" vertical="center" wrapText="1"/>
    </xf>
    <xf numFmtId="0" fontId="45" fillId="0" borderId="66" xfId="0" applyFont="1" applyBorder="1" applyAlignment="1">
      <alignment horizontal="center" vertical="center" wrapText="1"/>
    </xf>
    <xf numFmtId="0" fontId="44" fillId="32" borderId="64" xfId="0" applyFont="1" applyFill="1" applyBorder="1" applyAlignment="1">
      <alignment horizontal="center" vertical="center" wrapText="1"/>
    </xf>
    <xf numFmtId="0" fontId="44" fillId="32" borderId="65" xfId="0" applyFont="1" applyFill="1" applyBorder="1" applyAlignment="1">
      <alignment horizontal="center" vertical="center" wrapText="1"/>
    </xf>
    <xf numFmtId="0" fontId="44" fillId="33" borderId="67" xfId="0" applyFont="1" applyFill="1" applyBorder="1" applyAlignment="1">
      <alignment horizontal="center" vertical="center" wrapText="1"/>
    </xf>
    <xf numFmtId="0" fontId="44" fillId="33" borderId="64" xfId="0" applyFont="1" applyFill="1" applyBorder="1" applyAlignment="1">
      <alignment horizontal="center" vertical="center" wrapText="1"/>
    </xf>
    <xf numFmtId="0" fontId="45" fillId="0" borderId="68" xfId="0" applyFont="1" applyBorder="1" applyAlignment="1">
      <alignment horizontal="center" vertical="center" wrapText="1"/>
    </xf>
    <xf numFmtId="0" fontId="45" fillId="0" borderId="69" xfId="0" applyFont="1" applyBorder="1" applyAlignment="1">
      <alignment horizontal="center" vertical="center" wrapText="1"/>
    </xf>
    <xf numFmtId="176" fontId="0" fillId="0" borderId="0" xfId="0" applyNumberFormat="1" applyAlignment="1" applyProtection="1">
      <alignment horizontal="center" vertical="center"/>
    </xf>
    <xf numFmtId="176" fontId="0" fillId="0" borderId="0" xfId="0" applyNumberFormat="1" applyAlignment="1">
      <alignment horizontal="center" vertical="center"/>
    </xf>
    <xf numFmtId="0" fontId="30" fillId="0" borderId="11" xfId="0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29" fillId="0" borderId="0" xfId="0" applyFont="1" applyProtection="1">
      <alignment vertical="center"/>
      <protection locked="0"/>
    </xf>
    <xf numFmtId="0" fontId="29" fillId="0" borderId="0" xfId="0" applyFont="1" applyProtection="1">
      <alignment vertical="center"/>
    </xf>
    <xf numFmtId="0" fontId="29" fillId="0" borderId="0" xfId="0" applyFont="1" applyFill="1" applyProtection="1">
      <alignment vertical="center"/>
    </xf>
    <xf numFmtId="0" fontId="40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right" vertical="center"/>
    </xf>
    <xf numFmtId="0" fontId="29" fillId="0" borderId="0" xfId="0" applyFont="1" applyAlignment="1" applyProtection="1">
      <alignment horizontal="center" vertical="center"/>
    </xf>
    <xf numFmtId="0" fontId="29" fillId="0" borderId="0" xfId="0" applyFont="1" applyBorder="1" applyAlignment="1" applyProtection="1">
      <alignment vertical="center"/>
    </xf>
    <xf numFmtId="0" fontId="18" fillId="27" borderId="1" xfId="0" applyFont="1" applyFill="1" applyBorder="1" applyAlignment="1" applyProtection="1">
      <alignment horizontal="center" vertical="center"/>
    </xf>
    <xf numFmtId="0" fontId="18" fillId="24" borderId="1" xfId="0" applyFont="1" applyFill="1" applyBorder="1" applyAlignment="1" applyProtection="1">
      <alignment horizontal="center" vertical="center"/>
    </xf>
    <xf numFmtId="0" fontId="18" fillId="24" borderId="1" xfId="0" applyFont="1" applyFill="1" applyBorder="1" applyAlignment="1" applyProtection="1">
      <alignment horizontal="left" vertical="center"/>
    </xf>
    <xf numFmtId="0" fontId="29" fillId="0" borderId="0" xfId="0" applyFont="1" applyFill="1" applyBorder="1" applyAlignment="1" applyProtection="1">
      <alignment horizontal="right" vertical="center"/>
    </xf>
    <xf numFmtId="0" fontId="18" fillId="23" borderId="1" xfId="0" applyFont="1" applyFill="1" applyBorder="1" applyAlignment="1" applyProtection="1">
      <alignment horizontal="left" vertical="center"/>
    </xf>
    <xf numFmtId="176" fontId="18" fillId="26" borderId="1" xfId="0" applyNumberFormat="1" applyFont="1" applyFill="1" applyBorder="1" applyAlignment="1" applyProtection="1">
      <alignment horizontal="center" vertical="center"/>
    </xf>
    <xf numFmtId="179" fontId="31" fillId="15" borderId="1" xfId="0" applyNumberFormat="1" applyFont="1" applyFill="1" applyBorder="1" applyAlignment="1" applyProtection="1">
      <alignment horizontal="left" vertical="center"/>
    </xf>
    <xf numFmtId="176" fontId="31" fillId="15" borderId="1" xfId="0" applyNumberFormat="1" applyFont="1" applyFill="1" applyBorder="1" applyAlignment="1" applyProtection="1">
      <alignment horizontal="center" vertical="center"/>
    </xf>
    <xf numFmtId="0" fontId="29" fillId="0" borderId="0" xfId="0" applyFont="1" applyFill="1" applyAlignment="1" applyProtection="1">
      <alignment vertical="center"/>
    </xf>
    <xf numFmtId="0" fontId="29" fillId="0" borderId="0" xfId="0" applyFont="1" applyAlignment="1" applyProtection="1">
      <alignment horizontal="left" vertical="center"/>
    </xf>
    <xf numFmtId="0" fontId="29" fillId="0" borderId="0" xfId="0" applyFont="1" applyFill="1" applyBorder="1" applyAlignment="1" applyProtection="1">
      <alignment vertical="center"/>
    </xf>
    <xf numFmtId="10" fontId="31" fillId="15" borderId="1" xfId="7" applyNumberFormat="1" applyFont="1" applyFill="1" applyBorder="1" applyAlignment="1" applyProtection="1">
      <alignment horizontal="center" vertical="center"/>
    </xf>
    <xf numFmtId="0" fontId="30" fillId="0" borderId="1" xfId="0" applyFont="1" applyBorder="1" applyAlignment="1" applyProtection="1">
      <alignment horizontal="center" vertical="center"/>
    </xf>
    <xf numFmtId="180" fontId="31" fillId="15" borderId="1" xfId="7" applyNumberFormat="1" applyFont="1" applyFill="1" applyBorder="1" applyAlignment="1" applyProtection="1">
      <alignment horizontal="left" vertical="center"/>
    </xf>
    <xf numFmtId="10" fontId="31" fillId="15" borderId="1" xfId="7" applyNumberFormat="1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</xf>
    <xf numFmtId="0" fontId="29" fillId="0" borderId="0" xfId="0" applyFont="1" applyBorder="1" applyProtection="1">
      <alignment vertical="center"/>
    </xf>
    <xf numFmtId="179" fontId="31" fillId="15" borderId="1" xfId="0" applyNumberFormat="1" applyFont="1" applyFill="1" applyBorder="1" applyAlignment="1" applyProtection="1">
      <alignment horizontal="center" vertical="center"/>
    </xf>
    <xf numFmtId="178" fontId="29" fillId="0" borderId="0" xfId="0" applyNumberFormat="1" applyFont="1" applyBorder="1" applyProtection="1">
      <alignment vertical="center"/>
    </xf>
    <xf numFmtId="0" fontId="47" fillId="0" borderId="0" xfId="0" applyFont="1">
      <alignment vertical="center"/>
    </xf>
    <xf numFmtId="0" fontId="50" fillId="18" borderId="76" xfId="0" applyFont="1" applyFill="1" applyBorder="1" applyAlignment="1">
      <alignment horizontal="center" vertical="center"/>
    </xf>
    <xf numFmtId="0" fontId="50" fillId="0" borderId="76" xfId="0" applyFont="1" applyBorder="1" applyAlignment="1">
      <alignment horizontal="center" vertical="center"/>
    </xf>
    <xf numFmtId="177" fontId="50" fillId="18" borderId="0" xfId="0" applyNumberFormat="1" applyFont="1" applyFill="1">
      <alignment vertical="center"/>
    </xf>
    <xf numFmtId="10" fontId="50" fillId="0" borderId="0" xfId="7" applyNumberFormat="1" applyFont="1" applyAlignment="1">
      <alignment horizontal="center" vertical="center"/>
    </xf>
    <xf numFmtId="1" fontId="50" fillId="0" borderId="0" xfId="0" applyNumberFormat="1" applyFont="1" applyAlignment="1">
      <alignment horizontal="center" vertical="center"/>
    </xf>
    <xf numFmtId="183" fontId="50" fillId="0" borderId="0" xfId="0" applyNumberFormat="1" applyFont="1" applyAlignment="1">
      <alignment horizontal="center" vertical="center"/>
    </xf>
    <xf numFmtId="2" fontId="50" fillId="0" borderId="0" xfId="0" applyNumberFormat="1" applyFont="1" applyAlignment="1">
      <alignment horizontal="center" vertical="center"/>
    </xf>
    <xf numFmtId="177" fontId="50" fillId="2" borderId="0" xfId="0" applyNumberFormat="1" applyFont="1" applyFill="1">
      <alignment vertical="center"/>
    </xf>
    <xf numFmtId="10" fontId="50" fillId="18" borderId="0" xfId="7" applyNumberFormat="1" applyFont="1" applyFill="1" applyAlignment="1">
      <alignment horizontal="center" vertical="center"/>
    </xf>
    <xf numFmtId="1" fontId="50" fillId="18" borderId="0" xfId="0" applyNumberFormat="1" applyFont="1" applyFill="1" applyAlignment="1">
      <alignment horizontal="center" vertical="center"/>
    </xf>
    <xf numFmtId="183" fontId="50" fillId="18" borderId="0" xfId="0" applyNumberFormat="1" applyFont="1" applyFill="1" applyAlignment="1">
      <alignment horizontal="center" vertical="center"/>
    </xf>
    <xf numFmtId="2" fontId="50" fillId="18" borderId="0" xfId="0" applyNumberFormat="1" applyFont="1" applyFill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5" fillId="22" borderId="6" xfId="0" applyFont="1" applyFill="1" applyBorder="1" applyAlignment="1" applyProtection="1">
      <alignment horizontal="center" vertical="center"/>
    </xf>
    <xf numFmtId="0" fontId="25" fillId="22" borderId="7" xfId="0" applyFont="1" applyFill="1" applyBorder="1" applyAlignment="1" applyProtection="1">
      <alignment horizontal="center" vertical="center"/>
    </xf>
    <xf numFmtId="0" fontId="25" fillId="22" borderId="8" xfId="0" applyFont="1" applyFill="1" applyBorder="1" applyAlignment="1" applyProtection="1">
      <alignment horizontal="center" vertical="center"/>
    </xf>
    <xf numFmtId="0" fontId="25" fillId="22" borderId="5" xfId="0" applyFont="1" applyFill="1" applyBorder="1" applyAlignment="1" applyProtection="1">
      <alignment horizontal="center" vertical="center"/>
    </xf>
    <xf numFmtId="0" fontId="25" fillId="22" borderId="9" xfId="0" applyFont="1" applyFill="1" applyBorder="1" applyAlignment="1" applyProtection="1">
      <alignment horizontal="center" vertical="center"/>
    </xf>
    <xf numFmtId="0" fontId="25" fillId="22" borderId="10" xfId="0" applyFont="1" applyFill="1" applyBorder="1" applyAlignment="1" applyProtection="1">
      <alignment horizontal="center" vertical="center"/>
    </xf>
    <xf numFmtId="0" fontId="29" fillId="18" borderId="6" xfId="0" applyFont="1" applyFill="1" applyBorder="1" applyAlignment="1" applyProtection="1">
      <alignment horizontal="center" vertical="center"/>
    </xf>
    <xf numFmtId="0" fontId="29" fillId="18" borderId="7" xfId="0" applyFont="1" applyFill="1" applyBorder="1" applyAlignment="1" applyProtection="1">
      <alignment horizontal="center" vertical="center"/>
    </xf>
    <xf numFmtId="0" fontId="29" fillId="18" borderId="8" xfId="0" applyFont="1" applyFill="1" applyBorder="1" applyAlignment="1" applyProtection="1">
      <alignment horizontal="center" vertical="center"/>
    </xf>
    <xf numFmtId="0" fontId="29" fillId="18" borderId="5" xfId="0" applyFont="1" applyFill="1" applyBorder="1" applyAlignment="1" applyProtection="1">
      <alignment horizontal="center" vertical="center"/>
    </xf>
    <xf numFmtId="0" fontId="29" fillId="18" borderId="9" xfId="0" applyFont="1" applyFill="1" applyBorder="1" applyAlignment="1" applyProtection="1">
      <alignment horizontal="center" vertical="center"/>
    </xf>
    <xf numFmtId="0" fontId="29" fillId="18" borderId="10" xfId="0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center" vertical="center"/>
    </xf>
    <xf numFmtId="0" fontId="31" fillId="17" borderId="11" xfId="0" applyFont="1" applyFill="1" applyBorder="1" applyAlignment="1" applyProtection="1">
      <alignment horizontal="center" vertical="center"/>
    </xf>
    <xf numFmtId="0" fontId="31" fillId="17" borderId="13" xfId="0" applyFont="1" applyFill="1" applyBorder="1" applyAlignment="1" applyProtection="1">
      <alignment horizontal="center" vertical="center"/>
    </xf>
    <xf numFmtId="0" fontId="41" fillId="0" borderId="0" xfId="0" applyFont="1" applyAlignment="1" applyProtection="1">
      <alignment horizontal="center" vertical="center"/>
    </xf>
    <xf numFmtId="0" fontId="29" fillId="19" borderId="0" xfId="0" applyFont="1" applyFill="1" applyAlignment="1" applyProtection="1">
      <alignment horizontal="center" vertical="center" wrapText="1"/>
    </xf>
    <xf numFmtId="0" fontId="29" fillId="19" borderId="0" xfId="0" applyFont="1" applyFill="1" applyAlignment="1" applyProtection="1">
      <alignment horizontal="center" vertical="center"/>
    </xf>
    <xf numFmtId="0" fontId="30" fillId="2" borderId="70" xfId="0" applyFont="1" applyFill="1" applyBorder="1" applyAlignment="1" applyProtection="1">
      <alignment horizontal="left" vertical="center" wrapText="1"/>
    </xf>
    <xf numFmtId="0" fontId="30" fillId="2" borderId="34" xfId="0" applyFont="1" applyFill="1" applyBorder="1" applyAlignment="1" applyProtection="1">
      <alignment horizontal="left" vertical="center" wrapText="1"/>
    </xf>
    <xf numFmtId="0" fontId="30" fillId="2" borderId="35" xfId="0" applyFont="1" applyFill="1" applyBorder="1" applyAlignment="1" applyProtection="1">
      <alignment horizontal="left" vertical="center" wrapText="1"/>
    </xf>
    <xf numFmtId="0" fontId="30" fillId="2" borderId="36" xfId="0" applyFont="1" applyFill="1" applyBorder="1" applyAlignment="1" applyProtection="1">
      <alignment horizontal="left" vertical="center" wrapText="1"/>
    </xf>
    <xf numFmtId="0" fontId="30" fillId="2" borderId="0" xfId="0" applyFont="1" applyFill="1" applyBorder="1" applyAlignment="1" applyProtection="1">
      <alignment horizontal="left" vertical="center" wrapText="1"/>
    </xf>
    <xf numFmtId="0" fontId="30" fillId="2" borderId="37" xfId="0" applyFont="1" applyFill="1" applyBorder="1" applyAlignment="1" applyProtection="1">
      <alignment horizontal="left" vertical="center" wrapText="1"/>
    </xf>
    <xf numFmtId="0" fontId="30" fillId="2" borderId="71" xfId="0" applyFont="1" applyFill="1" applyBorder="1" applyAlignment="1" applyProtection="1">
      <alignment horizontal="left" vertical="center" wrapText="1"/>
    </xf>
    <xf numFmtId="0" fontId="30" fillId="2" borderId="72" xfId="0" applyFont="1" applyFill="1" applyBorder="1" applyAlignment="1" applyProtection="1">
      <alignment horizontal="left" vertical="center" wrapText="1"/>
    </xf>
    <xf numFmtId="0" fontId="30" fillId="2" borderId="73" xfId="0" applyFont="1" applyFill="1" applyBorder="1" applyAlignment="1" applyProtection="1">
      <alignment horizontal="left" vertical="center" wrapText="1"/>
    </xf>
    <xf numFmtId="0" fontId="48" fillId="0" borderId="75" xfId="0" applyFont="1" applyFill="1" applyBorder="1" applyAlignment="1">
      <alignment horizontal="right" vertical="center"/>
    </xf>
    <xf numFmtId="0" fontId="46" fillId="0" borderId="0" xfId="0" applyFont="1" applyFill="1" applyBorder="1" applyAlignment="1">
      <alignment horizontal="center" vertical="center"/>
    </xf>
    <xf numFmtId="0" fontId="48" fillId="0" borderId="74" xfId="0" applyFont="1" applyFill="1" applyBorder="1" applyAlignment="1">
      <alignment horizontal="right" vertical="center"/>
    </xf>
    <xf numFmtId="0" fontId="48" fillId="0" borderId="0" xfId="0" applyFont="1" applyFill="1" applyBorder="1" applyAlignment="1">
      <alignment horizontal="right" vertical="center"/>
    </xf>
    <xf numFmtId="0" fontId="25" fillId="22" borderId="6" xfId="0" applyFont="1" applyFill="1" applyBorder="1" applyAlignment="1">
      <alignment horizontal="center" vertical="center"/>
    </xf>
    <xf numFmtId="0" fontId="25" fillId="22" borderId="7" xfId="0" applyFont="1" applyFill="1" applyBorder="1" applyAlignment="1">
      <alignment horizontal="center" vertical="center"/>
    </xf>
    <xf numFmtId="0" fontId="25" fillId="22" borderId="8" xfId="0" applyFont="1" applyFill="1" applyBorder="1" applyAlignment="1">
      <alignment horizontal="center" vertical="center"/>
    </xf>
    <xf numFmtId="0" fontId="25" fillId="22" borderId="5" xfId="0" applyFont="1" applyFill="1" applyBorder="1" applyAlignment="1">
      <alignment horizontal="center" vertical="center"/>
    </xf>
    <xf numFmtId="0" fontId="25" fillId="22" borderId="9" xfId="0" applyFont="1" applyFill="1" applyBorder="1" applyAlignment="1">
      <alignment horizontal="center" vertical="center"/>
    </xf>
    <xf numFmtId="0" fontId="25" fillId="2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3" fillId="30" borderId="56" xfId="0" applyFont="1" applyFill="1" applyBorder="1" applyAlignment="1">
      <alignment horizontal="center" vertical="center" wrapText="1"/>
    </xf>
    <xf numFmtId="0" fontId="43" fillId="30" borderId="57" xfId="0" applyFont="1" applyFill="1" applyBorder="1" applyAlignment="1">
      <alignment horizontal="center" vertical="center" wrapText="1"/>
    </xf>
    <xf numFmtId="0" fontId="34" fillId="7" borderId="38" xfId="0" applyFont="1" applyFill="1" applyBorder="1" applyAlignment="1">
      <alignment horizontal="center" vertical="center"/>
    </xf>
    <xf numFmtId="0" fontId="34" fillId="7" borderId="39" xfId="0" applyFont="1" applyFill="1" applyBorder="1" applyAlignment="1">
      <alignment horizontal="center" vertical="center"/>
    </xf>
    <xf numFmtId="0" fontId="43" fillId="30" borderId="55" xfId="0" applyFont="1" applyFill="1" applyBorder="1" applyAlignment="1">
      <alignment horizontal="center" vertical="center" wrapText="1"/>
    </xf>
    <xf numFmtId="0" fontId="43" fillId="30" borderId="47" xfId="0" applyFont="1" applyFill="1" applyBorder="1" applyAlignment="1">
      <alignment horizontal="center" vertical="center" wrapText="1"/>
    </xf>
    <xf numFmtId="0" fontId="32" fillId="7" borderId="28" xfId="0" applyFont="1" applyFill="1" applyBorder="1" applyAlignment="1">
      <alignment horizontal="center" vertical="center"/>
    </xf>
    <xf numFmtId="0" fontId="32" fillId="7" borderId="29" xfId="0" applyFont="1" applyFill="1" applyBorder="1" applyAlignment="1">
      <alignment horizontal="center" vertical="center"/>
    </xf>
    <xf numFmtId="0" fontId="32" fillId="7" borderId="30" xfId="0" applyFont="1" applyFill="1" applyBorder="1" applyAlignment="1">
      <alignment horizontal="center" vertical="center"/>
    </xf>
  </cellXfs>
  <cellStyles count="9">
    <cellStyle name="백분율" xfId="7" builtinId="5"/>
    <cellStyle name="표준" xfId="0" builtinId="0"/>
    <cellStyle name="표준 2" xfId="2"/>
    <cellStyle name="표준 2 2" xfId="3"/>
    <cellStyle name="표준 252" xfId="4"/>
    <cellStyle name="표준 3" xfId="5"/>
    <cellStyle name="표준 4" xfId="1"/>
    <cellStyle name="표준 5" xfId="6"/>
    <cellStyle name="하이퍼링크" xfId="8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탐구계산sheet!$C$1" fmlaRange="탐구계산sheet!$B$10:$B$17" noThreeD="1" val="0"/>
</file>

<file path=xl/ctrlProps/ctrlProp2.xml><?xml version="1.0" encoding="utf-8"?>
<formControlPr xmlns="http://schemas.microsoft.com/office/spreadsheetml/2009/9/main" objectType="Drop" dropStyle="combo" dx="16" fmlaLink="탐구계산sheet!$D$1" fmlaRange="탐구계산sheet!$B$10:$B$17" noThreeD="1" sel="6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19050</xdr:rowOff>
        </xdr:from>
        <xdr:to>
          <xdr:col>1</xdr:col>
          <xdr:colOff>676275</xdr:colOff>
          <xdr:row>21</xdr:row>
          <xdr:rowOff>38100</xdr:rowOff>
        </xdr:to>
        <xdr:sp macro="" textlink="">
          <xdr:nvSpPr>
            <xdr:cNvPr id="15364" name="Drop Down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19050</xdr:rowOff>
        </xdr:from>
        <xdr:to>
          <xdr:col>1</xdr:col>
          <xdr:colOff>676275</xdr:colOff>
          <xdr:row>22</xdr:row>
          <xdr:rowOff>19050</xdr:rowOff>
        </xdr:to>
        <xdr:sp macro="" textlink="">
          <xdr:nvSpPr>
            <xdr:cNvPr id="15365" name="Drop Down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rbi_supply@live.co.k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faitcalc.orbi.kr/apply/1412/kaleidoscope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3:P56"/>
  <sheetViews>
    <sheetView showGridLines="0" tabSelected="1" topLeftCell="A13" workbookViewId="0">
      <selection activeCell="H31" sqref="H31"/>
    </sheetView>
  </sheetViews>
  <sheetFormatPr defaultRowHeight="16.5"/>
  <cols>
    <col min="1" max="1" width="9" style="25"/>
    <col min="2" max="2" width="19.125" style="25" customWidth="1"/>
    <col min="3" max="3" width="13.375" style="25" customWidth="1"/>
    <col min="4" max="6" width="9" style="25"/>
    <col min="7" max="7" width="12.5" style="25" customWidth="1"/>
    <col min="8" max="11" width="9" style="25"/>
    <col min="12" max="12" width="12" style="25" customWidth="1"/>
    <col min="13" max="16384" width="9" style="25"/>
  </cols>
  <sheetData>
    <row r="3" spans="2:16">
      <c r="B3" s="282" t="s">
        <v>545</v>
      </c>
      <c r="C3" s="282"/>
      <c r="D3" s="282"/>
      <c r="E3" s="282"/>
      <c r="F3" s="282"/>
      <c r="G3" s="282"/>
      <c r="H3" s="282"/>
      <c r="I3" s="282"/>
      <c r="J3" s="282"/>
    </row>
    <row r="4" spans="2:16">
      <c r="B4" s="282"/>
      <c r="C4" s="282"/>
      <c r="D4" s="282"/>
      <c r="E4" s="282"/>
      <c r="F4" s="282"/>
      <c r="G4" s="282"/>
      <c r="H4" s="282"/>
      <c r="I4" s="282"/>
      <c r="J4" s="282"/>
    </row>
    <row r="5" spans="2:16">
      <c r="B5" s="282"/>
      <c r="C5" s="282"/>
      <c r="D5" s="282"/>
      <c r="E5" s="282"/>
      <c r="F5" s="282"/>
      <c r="G5" s="282"/>
      <c r="H5" s="282"/>
      <c r="I5" s="282"/>
      <c r="J5" s="282"/>
    </row>
    <row r="7" spans="2:16" ht="17.25" thickBot="1"/>
    <row r="8" spans="2:16" ht="17.25" thickBot="1">
      <c r="G8" s="66" t="s">
        <v>94</v>
      </c>
      <c r="H8" s="67" t="s">
        <v>95</v>
      </c>
      <c r="I8" s="67"/>
      <c r="J8" s="67" t="s">
        <v>96</v>
      </c>
      <c r="K8" s="106" t="s">
        <v>306</v>
      </c>
      <c r="L8" s="68"/>
      <c r="M8" s="69"/>
      <c r="N8" s="69"/>
      <c r="O8" s="69"/>
      <c r="P8" s="69"/>
    </row>
    <row r="9" spans="2:16" ht="16.5" customHeight="1">
      <c r="B9" s="70" t="s">
        <v>97</v>
      </c>
      <c r="C9" s="70" t="s">
        <v>116</v>
      </c>
      <c r="D9" s="70" t="s">
        <v>117</v>
      </c>
      <c r="E9" s="71"/>
      <c r="F9" s="72"/>
      <c r="G9" s="73"/>
      <c r="H9" s="73"/>
      <c r="I9" s="73"/>
      <c r="J9" s="73"/>
      <c r="K9" s="69"/>
      <c r="L9" s="69"/>
      <c r="M9" s="69"/>
      <c r="N9" s="69"/>
      <c r="O9" s="69"/>
      <c r="P9" s="69"/>
    </row>
    <row r="10" spans="2:16">
      <c r="B10" s="70" t="s">
        <v>41</v>
      </c>
      <c r="C10" s="70" t="s">
        <v>26</v>
      </c>
      <c r="D10" s="70" t="s">
        <v>33</v>
      </c>
      <c r="E10" s="72"/>
      <c r="F10" s="72"/>
      <c r="G10" s="69"/>
      <c r="H10" s="69"/>
      <c r="I10" s="69"/>
      <c r="J10" s="69"/>
      <c r="K10" s="69"/>
      <c r="L10" s="69"/>
      <c r="M10" s="69"/>
      <c r="N10" s="69"/>
      <c r="O10" s="69"/>
      <c r="P10" s="69"/>
    </row>
    <row r="11" spans="2:16">
      <c r="B11" s="70" t="s">
        <v>42</v>
      </c>
      <c r="C11" s="70" t="s">
        <v>24</v>
      </c>
      <c r="D11" s="70" t="s">
        <v>33</v>
      </c>
      <c r="G11" s="74" t="s">
        <v>99</v>
      </c>
      <c r="H11" s="69"/>
      <c r="I11" s="69" t="s">
        <v>100</v>
      </c>
      <c r="K11" s="69"/>
      <c r="L11" s="69"/>
      <c r="M11" s="69"/>
      <c r="N11" s="69"/>
      <c r="O11" s="69"/>
      <c r="P11" s="69"/>
    </row>
    <row r="12" spans="2:16">
      <c r="B12" s="70" t="s">
        <v>43</v>
      </c>
      <c r="C12" s="70" t="s">
        <v>25</v>
      </c>
      <c r="D12" s="70" t="s">
        <v>33</v>
      </c>
      <c r="G12" s="69"/>
      <c r="H12" s="69"/>
      <c r="I12" s="69" t="s">
        <v>101</v>
      </c>
      <c r="J12" s="69"/>
      <c r="K12" s="69"/>
      <c r="L12" s="69"/>
      <c r="M12" s="69"/>
      <c r="N12" s="69"/>
      <c r="O12" s="69"/>
      <c r="P12" s="69"/>
    </row>
    <row r="13" spans="2:16">
      <c r="B13" s="70" t="s">
        <v>44</v>
      </c>
      <c r="C13" s="70" t="s">
        <v>25</v>
      </c>
      <c r="D13" s="70" t="s">
        <v>33</v>
      </c>
      <c r="G13" s="69"/>
      <c r="H13" s="69"/>
      <c r="I13" s="69" t="s">
        <v>102</v>
      </c>
      <c r="J13" s="69"/>
      <c r="K13" s="69"/>
      <c r="L13" s="69"/>
      <c r="M13" s="69"/>
      <c r="N13" s="69"/>
      <c r="O13" s="69"/>
      <c r="P13" s="69"/>
    </row>
    <row r="14" spans="2:16">
      <c r="B14" s="70" t="s">
        <v>45</v>
      </c>
      <c r="C14" s="70" t="s">
        <v>27</v>
      </c>
      <c r="D14" s="70" t="s">
        <v>33</v>
      </c>
      <c r="G14" s="69"/>
      <c r="H14" s="69"/>
      <c r="I14" s="69" t="s">
        <v>103</v>
      </c>
      <c r="J14" s="69"/>
      <c r="K14" s="69"/>
      <c r="L14" s="69"/>
      <c r="M14" s="69"/>
      <c r="N14" s="69"/>
      <c r="O14" s="69"/>
      <c r="P14" s="69"/>
    </row>
    <row r="15" spans="2:16">
      <c r="B15" s="70" t="s">
        <v>46</v>
      </c>
      <c r="C15" s="70" t="s">
        <v>28</v>
      </c>
      <c r="D15" s="70" t="s">
        <v>33</v>
      </c>
      <c r="G15" s="69"/>
      <c r="H15" s="69"/>
      <c r="I15" s="69"/>
      <c r="J15" s="69"/>
      <c r="K15" s="69"/>
      <c r="L15" s="69"/>
      <c r="M15" s="69"/>
      <c r="N15" s="69"/>
      <c r="O15" s="69"/>
      <c r="P15" s="69"/>
    </row>
    <row r="16" spans="2:16">
      <c r="B16" s="70" t="s">
        <v>47</v>
      </c>
      <c r="C16" s="70" t="s">
        <v>24</v>
      </c>
      <c r="D16" s="70" t="s">
        <v>33</v>
      </c>
      <c r="G16" s="69"/>
      <c r="H16" s="69"/>
      <c r="I16" s="69"/>
      <c r="J16" s="69"/>
      <c r="K16" s="69"/>
      <c r="L16" s="69"/>
      <c r="M16" s="69"/>
      <c r="N16" s="69"/>
      <c r="O16" s="69"/>
      <c r="P16" s="69"/>
    </row>
    <row r="17" spans="2:16">
      <c r="B17" s="70" t="s">
        <v>48</v>
      </c>
      <c r="C17" s="70" t="s">
        <v>29</v>
      </c>
      <c r="D17" s="70" t="s">
        <v>33</v>
      </c>
      <c r="G17" s="75" t="s">
        <v>104</v>
      </c>
      <c r="H17" s="279" t="s">
        <v>105</v>
      </c>
      <c r="I17" s="280"/>
      <c r="J17" s="280"/>
      <c r="K17" s="280"/>
      <c r="L17" s="280"/>
      <c r="M17" s="281"/>
      <c r="N17" s="69"/>
      <c r="O17" s="69"/>
      <c r="P17" s="69"/>
    </row>
    <row r="18" spans="2:16">
      <c r="B18" s="70" t="s">
        <v>49</v>
      </c>
      <c r="C18" s="70" t="s">
        <v>29</v>
      </c>
      <c r="D18" s="70" t="s">
        <v>33</v>
      </c>
      <c r="G18" s="75" t="s">
        <v>106</v>
      </c>
      <c r="H18" s="279" t="s">
        <v>185</v>
      </c>
      <c r="I18" s="280"/>
      <c r="J18" s="280"/>
      <c r="K18" s="280"/>
      <c r="L18" s="280"/>
      <c r="M18" s="281"/>
      <c r="N18" s="69"/>
      <c r="O18" s="69"/>
      <c r="P18" s="69"/>
    </row>
    <row r="19" spans="2:16">
      <c r="B19" s="70" t="s">
        <v>50</v>
      </c>
      <c r="C19" s="70" t="s">
        <v>24</v>
      </c>
      <c r="D19" s="70" t="s">
        <v>33</v>
      </c>
      <c r="G19" s="75">
        <v>1.1000000000000001</v>
      </c>
      <c r="H19" s="279" t="s">
        <v>281</v>
      </c>
      <c r="I19" s="280"/>
      <c r="J19" s="280"/>
      <c r="K19" s="280"/>
      <c r="L19" s="280"/>
      <c r="M19" s="281"/>
    </row>
    <row r="20" spans="2:16">
      <c r="B20" s="70" t="s">
        <v>59</v>
      </c>
      <c r="C20" s="70" t="s">
        <v>29</v>
      </c>
      <c r="D20" s="70" t="s">
        <v>33</v>
      </c>
      <c r="G20" s="75">
        <v>1.2</v>
      </c>
      <c r="H20" s="279" t="s">
        <v>303</v>
      </c>
      <c r="I20" s="280"/>
      <c r="J20" s="280"/>
      <c r="K20" s="280"/>
      <c r="L20" s="280"/>
      <c r="M20" s="281"/>
    </row>
    <row r="21" spans="2:16">
      <c r="B21" s="70" t="s">
        <v>60</v>
      </c>
      <c r="C21" s="70" t="s">
        <v>29</v>
      </c>
      <c r="D21" s="70" t="s">
        <v>33</v>
      </c>
      <c r="G21" s="75" t="s">
        <v>304</v>
      </c>
      <c r="H21" s="279" t="s">
        <v>305</v>
      </c>
      <c r="I21" s="280"/>
      <c r="J21" s="280"/>
      <c r="K21" s="280"/>
      <c r="L21" s="280"/>
      <c r="M21" s="281"/>
    </row>
    <row r="22" spans="2:16">
      <c r="B22" s="70" t="s">
        <v>53</v>
      </c>
      <c r="C22" s="70" t="s">
        <v>29</v>
      </c>
      <c r="D22" s="70" t="s">
        <v>33</v>
      </c>
      <c r="G22" s="134" t="s">
        <v>345</v>
      </c>
      <c r="H22" s="279" t="s">
        <v>352</v>
      </c>
      <c r="I22" s="280"/>
      <c r="J22" s="280"/>
      <c r="K22" s="280"/>
      <c r="L22" s="280"/>
      <c r="M22" s="281"/>
    </row>
    <row r="23" spans="2:16">
      <c r="B23" s="70" t="s">
        <v>346</v>
      </c>
      <c r="C23" s="70" t="s">
        <v>349</v>
      </c>
      <c r="D23" s="70" t="s">
        <v>350</v>
      </c>
      <c r="G23" s="75">
        <v>2.1</v>
      </c>
      <c r="H23" s="283" t="s">
        <v>385</v>
      </c>
      <c r="I23" s="283"/>
      <c r="J23" s="283"/>
      <c r="K23" s="283"/>
      <c r="L23" s="283"/>
      <c r="M23" s="283"/>
      <c r="N23" s="135"/>
    </row>
    <row r="24" spans="2:16">
      <c r="B24" s="70" t="s">
        <v>347</v>
      </c>
      <c r="C24" s="70" t="s">
        <v>349</v>
      </c>
      <c r="D24" s="70" t="s">
        <v>351</v>
      </c>
      <c r="G24" s="75" t="s">
        <v>394</v>
      </c>
      <c r="H24" s="283" t="s">
        <v>395</v>
      </c>
      <c r="I24" s="283"/>
      <c r="J24" s="283"/>
      <c r="K24" s="283"/>
      <c r="L24" s="283"/>
      <c r="M24" s="283"/>
    </row>
    <row r="25" spans="2:16">
      <c r="B25" s="70" t="s">
        <v>348</v>
      </c>
      <c r="C25" s="70" t="s">
        <v>349</v>
      </c>
      <c r="D25" s="70" t="s">
        <v>351</v>
      </c>
      <c r="G25" s="75">
        <v>2.2000000000000002</v>
      </c>
      <c r="H25" s="279" t="s">
        <v>401</v>
      </c>
      <c r="I25" s="280"/>
      <c r="J25" s="280"/>
      <c r="K25" s="280"/>
      <c r="L25" s="280"/>
      <c r="M25" s="281"/>
    </row>
    <row r="26" spans="2:16">
      <c r="B26" s="70" t="s">
        <v>54</v>
      </c>
      <c r="C26" s="70" t="s">
        <v>32</v>
      </c>
      <c r="D26" s="70" t="s">
        <v>34</v>
      </c>
      <c r="G26" s="75" t="s">
        <v>402</v>
      </c>
      <c r="H26" s="279" t="s">
        <v>459</v>
      </c>
      <c r="I26" s="280"/>
      <c r="J26" s="280"/>
      <c r="K26" s="280"/>
      <c r="L26" s="280"/>
      <c r="M26" s="281"/>
    </row>
    <row r="27" spans="2:16">
      <c r="B27" s="70" t="s">
        <v>55</v>
      </c>
      <c r="C27" s="70" t="s">
        <v>35</v>
      </c>
      <c r="D27" s="70" t="s">
        <v>33</v>
      </c>
      <c r="G27" s="75" t="s">
        <v>498</v>
      </c>
      <c r="H27" s="279" t="s">
        <v>500</v>
      </c>
      <c r="I27" s="280"/>
      <c r="J27" s="280"/>
      <c r="K27" s="280"/>
      <c r="L27" s="280"/>
      <c r="M27" s="281"/>
    </row>
    <row r="28" spans="2:16">
      <c r="B28" s="70" t="s">
        <v>108</v>
      </c>
      <c r="C28" s="70" t="s">
        <v>71</v>
      </c>
      <c r="D28" s="70" t="s">
        <v>72</v>
      </c>
      <c r="G28" s="75" t="s">
        <v>501</v>
      </c>
      <c r="H28" s="279" t="s">
        <v>502</v>
      </c>
      <c r="I28" s="280"/>
      <c r="J28" s="280"/>
      <c r="K28" s="280"/>
      <c r="L28" s="280"/>
      <c r="M28" s="281"/>
    </row>
    <row r="29" spans="2:16">
      <c r="B29" s="70" t="s">
        <v>109</v>
      </c>
      <c r="C29" s="70" t="s">
        <v>74</v>
      </c>
      <c r="D29" s="70" t="s">
        <v>72</v>
      </c>
      <c r="G29" s="75" t="s">
        <v>506</v>
      </c>
      <c r="H29" s="279" t="s">
        <v>507</v>
      </c>
      <c r="I29" s="280"/>
      <c r="J29" s="280"/>
      <c r="K29" s="280"/>
      <c r="L29" s="280"/>
      <c r="M29" s="281"/>
    </row>
    <row r="30" spans="2:16">
      <c r="B30" s="70" t="s">
        <v>110</v>
      </c>
      <c r="C30" s="70" t="s">
        <v>75</v>
      </c>
      <c r="D30" s="70" t="s">
        <v>76</v>
      </c>
      <c r="G30" s="75" t="s">
        <v>546</v>
      </c>
      <c r="H30" s="279" t="s">
        <v>547</v>
      </c>
      <c r="I30" s="280"/>
      <c r="J30" s="280"/>
      <c r="K30" s="280"/>
      <c r="L30" s="280"/>
      <c r="M30" s="281"/>
    </row>
    <row r="31" spans="2:16">
      <c r="B31" s="70" t="s">
        <v>111</v>
      </c>
      <c r="C31" s="70" t="s">
        <v>118</v>
      </c>
      <c r="D31" s="70" t="s">
        <v>119</v>
      </c>
    </row>
    <row r="32" spans="2:16">
      <c r="B32" s="70" t="s">
        <v>112</v>
      </c>
      <c r="C32" s="70" t="s">
        <v>98</v>
      </c>
      <c r="D32" s="70" t="s">
        <v>107</v>
      </c>
    </row>
    <row r="33" spans="2:4">
      <c r="B33" s="70" t="s">
        <v>113</v>
      </c>
      <c r="C33" s="70" t="s">
        <v>27</v>
      </c>
      <c r="D33" s="70" t="s">
        <v>78</v>
      </c>
    </row>
    <row r="34" spans="2:4">
      <c r="B34" s="70" t="s">
        <v>114</v>
      </c>
      <c r="C34" s="70" t="s">
        <v>27</v>
      </c>
      <c r="D34" s="70" t="s">
        <v>78</v>
      </c>
    </row>
    <row r="35" spans="2:4">
      <c r="B35" s="70" t="s">
        <v>115</v>
      </c>
      <c r="C35" s="70" t="s">
        <v>120</v>
      </c>
      <c r="D35" s="70" t="s">
        <v>78</v>
      </c>
    </row>
    <row r="36" spans="2:4">
      <c r="B36" s="70" t="s">
        <v>287</v>
      </c>
      <c r="C36" s="70" t="s">
        <v>288</v>
      </c>
      <c r="D36" s="70" t="s">
        <v>289</v>
      </c>
    </row>
    <row r="37" spans="2:4">
      <c r="B37" s="70" t="s">
        <v>195</v>
      </c>
      <c r="C37" s="70" t="s">
        <v>29</v>
      </c>
      <c r="D37" s="70" t="s">
        <v>196</v>
      </c>
    </row>
    <row r="38" spans="2:4">
      <c r="B38" s="70" t="s">
        <v>208</v>
      </c>
      <c r="C38" s="70" t="s">
        <v>29</v>
      </c>
      <c r="D38" s="70" t="s">
        <v>196</v>
      </c>
    </row>
    <row r="39" spans="2:4">
      <c r="B39" s="70" t="s">
        <v>213</v>
      </c>
      <c r="C39" s="70" t="s">
        <v>214</v>
      </c>
      <c r="D39" s="70" t="s">
        <v>215</v>
      </c>
    </row>
    <row r="40" spans="2:4">
      <c r="B40" s="70" t="s">
        <v>218</v>
      </c>
      <c r="C40" s="70" t="s">
        <v>214</v>
      </c>
      <c r="D40" s="70" t="s">
        <v>219</v>
      </c>
    </row>
    <row r="41" spans="2:4">
      <c r="B41" s="70" t="s">
        <v>222</v>
      </c>
      <c r="C41" s="70" t="s">
        <v>29</v>
      </c>
      <c r="D41" s="70" t="s">
        <v>223</v>
      </c>
    </row>
    <row r="42" spans="2:4">
      <c r="B42" s="70" t="s">
        <v>236</v>
      </c>
      <c r="C42" s="70" t="s">
        <v>29</v>
      </c>
      <c r="D42" s="70" t="s">
        <v>215</v>
      </c>
    </row>
    <row r="43" spans="2:4">
      <c r="B43" s="70" t="s">
        <v>232</v>
      </c>
      <c r="C43" s="70" t="s">
        <v>214</v>
      </c>
      <c r="D43" s="70" t="s">
        <v>238</v>
      </c>
    </row>
    <row r="44" spans="2:4">
      <c r="B44" s="70" t="s">
        <v>237</v>
      </c>
      <c r="C44" s="70" t="s">
        <v>239</v>
      </c>
      <c r="D44" s="70" t="s">
        <v>240</v>
      </c>
    </row>
    <row r="45" spans="2:4">
      <c r="B45" s="70" t="s">
        <v>243</v>
      </c>
      <c r="C45" s="70" t="s">
        <v>244</v>
      </c>
      <c r="D45" s="70" t="s">
        <v>245</v>
      </c>
    </row>
    <row r="46" spans="2:4">
      <c r="B46" s="70" t="s">
        <v>254</v>
      </c>
      <c r="C46" s="70" t="s">
        <v>244</v>
      </c>
      <c r="D46" s="70" t="s">
        <v>245</v>
      </c>
    </row>
    <row r="47" spans="2:4">
      <c r="B47" s="70" t="s">
        <v>255</v>
      </c>
      <c r="C47" s="70" t="s">
        <v>244</v>
      </c>
      <c r="D47" s="70" t="s">
        <v>245</v>
      </c>
    </row>
    <row r="48" spans="2:4">
      <c r="B48" s="70" t="s">
        <v>263</v>
      </c>
      <c r="C48" s="70" t="s">
        <v>260</v>
      </c>
      <c r="D48" s="70" t="s">
        <v>261</v>
      </c>
    </row>
    <row r="49" spans="2:4">
      <c r="B49" s="70" t="s">
        <v>259</v>
      </c>
      <c r="C49" s="70" t="s">
        <v>260</v>
      </c>
      <c r="D49" s="70" t="s">
        <v>261</v>
      </c>
    </row>
    <row r="50" spans="2:4">
      <c r="B50" s="70" t="s">
        <v>264</v>
      </c>
      <c r="C50" s="70" t="s">
        <v>265</v>
      </c>
      <c r="D50" s="70" t="s">
        <v>215</v>
      </c>
    </row>
    <row r="51" spans="2:4">
      <c r="B51" s="70" t="s">
        <v>269</v>
      </c>
      <c r="C51" s="70" t="s">
        <v>265</v>
      </c>
      <c r="D51" s="70" t="s">
        <v>215</v>
      </c>
    </row>
    <row r="52" spans="2:4">
      <c r="B52" s="70" t="s">
        <v>270</v>
      </c>
      <c r="C52" s="70" t="s">
        <v>293</v>
      </c>
      <c r="D52" s="70" t="s">
        <v>292</v>
      </c>
    </row>
    <row r="53" spans="2:4">
      <c r="B53" s="70" t="s">
        <v>275</v>
      </c>
      <c r="C53" s="70" t="s">
        <v>276</v>
      </c>
      <c r="D53" s="70" t="s">
        <v>277</v>
      </c>
    </row>
    <row r="54" spans="2:4">
      <c r="B54" s="70" t="s">
        <v>278</v>
      </c>
      <c r="C54" s="70"/>
      <c r="D54" s="70"/>
    </row>
    <row r="55" spans="2:4">
      <c r="B55" s="70" t="s">
        <v>279</v>
      </c>
      <c r="C55" s="70" t="s">
        <v>276</v>
      </c>
      <c r="D55" s="70" t="s">
        <v>280</v>
      </c>
    </row>
    <row r="56" spans="2:4">
      <c r="B56" s="70" t="s">
        <v>283</v>
      </c>
      <c r="C56" s="70" t="s">
        <v>284</v>
      </c>
      <c r="D56" s="70" t="s">
        <v>285</v>
      </c>
    </row>
  </sheetData>
  <sheetProtection algorithmName="SHA-512" hashValue="z17SoWcqimN+YtOBhgNW6k3gNGhwZXj1mCPUYpwlD0l1Kjj+3mVfGIogHAXaxR95retJUxGEiZacK4QyBUU5yA==" saltValue="FdjPYEmfD41r3l/fKjgNIg==" spinCount="100000" sheet="1" objects="1" scenarios="1" selectLockedCells="1" selectUnlockedCells="1"/>
  <mergeCells count="15">
    <mergeCell ref="H30:M30"/>
    <mergeCell ref="H29:M29"/>
    <mergeCell ref="H28:M28"/>
    <mergeCell ref="H27:M27"/>
    <mergeCell ref="H26:M26"/>
    <mergeCell ref="B3:J5"/>
    <mergeCell ref="H17:M17"/>
    <mergeCell ref="H18:M18"/>
    <mergeCell ref="H19:M19"/>
    <mergeCell ref="H20:M20"/>
    <mergeCell ref="H25:M25"/>
    <mergeCell ref="H24:M24"/>
    <mergeCell ref="H23:M23"/>
    <mergeCell ref="H22:M22"/>
    <mergeCell ref="H21:M21"/>
  </mergeCells>
  <phoneticPr fontId="1" type="noConversion"/>
  <hyperlinks>
    <hyperlink ref="K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F48"/>
  <sheetViews>
    <sheetView topLeftCell="A13" zoomScale="70" zoomScaleNormal="70" workbookViewId="0">
      <selection activeCell="F23" sqref="F23"/>
    </sheetView>
  </sheetViews>
  <sheetFormatPr defaultRowHeight="16.5"/>
  <cols>
    <col min="4" max="4" width="11.625" customWidth="1"/>
    <col min="5" max="5" width="10" customWidth="1"/>
  </cols>
  <sheetData>
    <row r="1" spans="1:32">
      <c r="B1" s="101"/>
      <c r="C1" s="101">
        <v>1</v>
      </c>
      <c r="D1" s="101">
        <v>6</v>
      </c>
      <c r="E1">
        <f>MOD(C1,4)</f>
        <v>1</v>
      </c>
      <c r="F1" s="25">
        <f>MOD(D1,4)</f>
        <v>2</v>
      </c>
      <c r="I1" s="25" t="s">
        <v>384</v>
      </c>
      <c r="J1">
        <f>IF(E1=F1,0,1)</f>
        <v>1</v>
      </c>
      <c r="K1" s="15" t="s">
        <v>383</v>
      </c>
      <c r="L1" s="15">
        <f>IF(AND(C1&lt;5,D1&lt;5),0,1)</f>
        <v>1</v>
      </c>
    </row>
    <row r="2" spans="1:32">
      <c r="B2" s="101"/>
      <c r="C2" s="101" t="str">
        <f>INDEX($B$10:$B$17,$C1,1)</f>
        <v>물리1</v>
      </c>
      <c r="D2" s="101" t="str">
        <f>INDEX($B$10:$B$17,D1,1)</f>
        <v>화학2</v>
      </c>
    </row>
    <row r="3" spans="1:32">
      <c r="B3" s="101" t="s">
        <v>134</v>
      </c>
      <c r="C3" s="101">
        <f>계산!$F$4</f>
        <v>66</v>
      </c>
      <c r="D3" s="101">
        <f>계산!$G$4</f>
        <v>67</v>
      </c>
    </row>
    <row r="4" spans="1:32">
      <c r="B4" s="101" t="s">
        <v>3</v>
      </c>
      <c r="C4" s="101">
        <f>계산!$F$5</f>
        <v>92</v>
      </c>
      <c r="D4" s="101">
        <f>계산!$G$5</f>
        <v>94</v>
      </c>
    </row>
    <row r="7" spans="1:32" ht="17.25" thickBot="1"/>
    <row r="8" spans="1:32">
      <c r="B8" s="77" t="s">
        <v>126</v>
      </c>
    </row>
    <row r="9" spans="1:32">
      <c r="A9" t="s">
        <v>202</v>
      </c>
      <c r="B9" s="78" t="s">
        <v>125</v>
      </c>
      <c r="C9" s="15" t="s">
        <v>136</v>
      </c>
      <c r="D9" t="s">
        <v>137</v>
      </c>
      <c r="E9" t="s">
        <v>203</v>
      </c>
      <c r="F9" t="s">
        <v>149</v>
      </c>
      <c r="G9" t="s">
        <v>150</v>
      </c>
      <c r="H9" t="s">
        <v>151</v>
      </c>
      <c r="I9" t="s">
        <v>152</v>
      </c>
      <c r="J9" t="s">
        <v>153</v>
      </c>
      <c r="K9" t="s">
        <v>154</v>
      </c>
      <c r="L9" t="s">
        <v>155</v>
      </c>
      <c r="M9" t="s">
        <v>156</v>
      </c>
      <c r="N9" t="s">
        <v>157</v>
      </c>
      <c r="O9" t="s">
        <v>158</v>
      </c>
      <c r="P9" t="s">
        <v>161</v>
      </c>
      <c r="Q9" t="s">
        <v>194</v>
      </c>
      <c r="R9" t="s">
        <v>198</v>
      </c>
      <c r="S9" t="s">
        <v>211</v>
      </c>
      <c r="T9" t="s">
        <v>216</v>
      </c>
      <c r="U9" t="s">
        <v>221</v>
      </c>
      <c r="V9" t="s">
        <v>231</v>
      </c>
      <c r="W9" t="s">
        <v>233</v>
      </c>
      <c r="X9" t="s">
        <v>246</v>
      </c>
      <c r="Y9" t="s">
        <v>247</v>
      </c>
      <c r="Z9" t="s">
        <v>251</v>
      </c>
      <c r="AA9" t="s">
        <v>327</v>
      </c>
      <c r="AB9" t="s">
        <v>336</v>
      </c>
      <c r="AC9" t="s">
        <v>337</v>
      </c>
      <c r="AD9" t="s">
        <v>381</v>
      </c>
      <c r="AE9" t="s">
        <v>387</v>
      </c>
      <c r="AF9" t="s">
        <v>515</v>
      </c>
    </row>
    <row r="10" spans="1:32">
      <c r="A10">
        <v>69</v>
      </c>
      <c r="B10" s="79" t="s">
        <v>135</v>
      </c>
      <c r="C10">
        <f>IF($B10=$C$2,$C$3,IF($B10=$D$2,$D$3,0))</f>
        <v>66</v>
      </c>
      <c r="D10" s="25">
        <f>IF($B10=$C$2,$C$4,IF($B10=$D$2,$D$4,0))</f>
        <v>92</v>
      </c>
      <c r="E10">
        <v>99</v>
      </c>
      <c r="F10">
        <f>VLOOKUP($C$10,서울대과탐변표!$B:$C,2,FALSE)</f>
        <v>65.319999999999993</v>
      </c>
      <c r="G10">
        <f>VLOOKUP($D10,'대학별 변환표준점수'!$A:$B,2,FALSE)</f>
        <v>63.92</v>
      </c>
      <c r="H10" s="25">
        <f>VLOOKUP($D10,'대학별 변환표준점수'!$C:$D,2,FALSE)</f>
        <v>63.91</v>
      </c>
      <c r="I10" s="25">
        <f>VLOOKUP($D10,'대학별 변환표준점수'!$E:$F,2,FALSE)</f>
        <v>63.92</v>
      </c>
      <c r="J10" s="25">
        <f>VLOOKUP($D10,'대학별 변환표준점수'!$G:$H,2,FALSE)</f>
        <v>65.02</v>
      </c>
      <c r="K10" s="25">
        <f>VLOOKUP($D10,'대학별 변환표준점수'!$I:$J,2,FALSE)</f>
        <v>63.92</v>
      </c>
      <c r="L10" s="25">
        <f>VLOOKUP($D10,'대학별 변환표준점수'!$K:$L,2,FALSE)</f>
        <v>63.96</v>
      </c>
      <c r="M10" s="25">
        <f>VLOOKUP($D10,'대학별 변환표준점수'!$M:$N,2,FALSE)</f>
        <v>63.91</v>
      </c>
      <c r="N10" s="25">
        <f>VLOOKUP($D10,'대학별 변환표준점수'!$O:$P,2,FALSE)</f>
        <v>96.39</v>
      </c>
      <c r="O10" s="25">
        <f>VLOOKUP($D10,'대학별 변환표준점수'!$Q:$R,2,FALSE)</f>
        <v>63.98</v>
      </c>
      <c r="P10">
        <f>C10*0.9</f>
        <v>59.4</v>
      </c>
      <c r="Q10">
        <f>VLOOKUP($D10,'대학별 변환표준점수'!$S:$T,2,FALSE)</f>
        <v>63.91</v>
      </c>
      <c r="R10" s="99">
        <f>VLOOKUP($D10,'대학별 변환표준점수'!$U:$V,2,FALSE)</f>
        <v>64.38</v>
      </c>
      <c r="S10">
        <f>C10</f>
        <v>66</v>
      </c>
      <c r="T10">
        <f>D10</f>
        <v>92</v>
      </c>
      <c r="U10">
        <f>D10</f>
        <v>92</v>
      </c>
      <c r="V10">
        <f>1000*0.2*C10/A10</f>
        <v>191.30434782608697</v>
      </c>
      <c r="W10">
        <f>C10</f>
        <v>66</v>
      </c>
      <c r="X10">
        <f>C10</f>
        <v>66</v>
      </c>
      <c r="Y10">
        <f>D10</f>
        <v>92</v>
      </c>
      <c r="Z10">
        <f>D10</f>
        <v>92</v>
      </c>
      <c r="AA10">
        <f>VLOOKUP(D10,'대학별 변환표준점수'!$W:$X,2,FALSE)</f>
        <v>63.92</v>
      </c>
      <c r="AB10" s="25">
        <f>VLOOKUP(D10,'대학별 변환표준점수'!$Y:$Z,2,FALSE)</f>
        <v>63.91</v>
      </c>
      <c r="AC10" s="25">
        <f>VLOOKUP(D10,'대학별 변환표준점수'!$AA:$AB,2,FALSE)</f>
        <v>63.92</v>
      </c>
      <c r="AD10" s="25">
        <f>VLOOKUP($C$10,서울대교차탐구!$B:$C,2,FALSE)</f>
        <v>64.7</v>
      </c>
      <c r="AE10">
        <f>D10</f>
        <v>92</v>
      </c>
      <c r="AF10" s="25">
        <f>VLOOKUP($D10,서울대교차지원!N:O,2,FALSE)</f>
        <v>63.7</v>
      </c>
    </row>
    <row r="11" spans="1:32">
      <c r="A11">
        <v>71</v>
      </c>
      <c r="B11" s="79" t="s">
        <v>127</v>
      </c>
      <c r="C11" s="25">
        <f t="shared" ref="C11:C17" si="0">IF($B11=$C$2,$C$3,IF($B11=$D$2,$D$3,0))</f>
        <v>0</v>
      </c>
      <c r="D11" s="25">
        <f t="shared" ref="D11:D17" si="1">IF($B11=$C$2,$C$4,IF($B11=$D$2,$D$4,0))</f>
        <v>0</v>
      </c>
      <c r="E11">
        <v>100</v>
      </c>
      <c r="F11" s="25">
        <f>VLOOKUP($C$11,서울대과탐변표!$E:$F,2,FALSE)</f>
        <v>0</v>
      </c>
      <c r="G11" s="25">
        <f>VLOOKUP($D11,'대학별 변환표준점수'!$A:$B,2,FALSE)</f>
        <v>0</v>
      </c>
      <c r="H11" s="25">
        <f>VLOOKUP($D11,'대학별 변환표준점수'!$C:$D,2,FALSE)</f>
        <v>0</v>
      </c>
      <c r="I11" s="25">
        <f>VLOOKUP($D11,'대학별 변환표준점수'!$E:$F,2,FALSE)</f>
        <v>0</v>
      </c>
      <c r="J11" s="25">
        <f>VLOOKUP($D11,'대학별 변환표준점수'!$G:$H,2,FALSE)</f>
        <v>0</v>
      </c>
      <c r="K11" s="25">
        <f>VLOOKUP($D11,'대학별 변환표준점수'!$I:$J,2,FALSE)</f>
        <v>0</v>
      </c>
      <c r="L11" s="25">
        <f>VLOOKUP($D11,'대학별 변환표준점수'!$K:$L,2,FALSE)</f>
        <v>0</v>
      </c>
      <c r="M11" s="25">
        <f>VLOOKUP($D11,'대학별 변환표준점수'!$M:$N,2,FALSE)</f>
        <v>0</v>
      </c>
      <c r="N11" s="25">
        <f>VLOOKUP($D11,'대학별 변환표준점수'!$O:$P,2,FALSE)</f>
        <v>0</v>
      </c>
      <c r="O11" s="25">
        <f>VLOOKUP($D11,'대학별 변환표준점수'!$Q:$R,2,FALSE)</f>
        <v>0</v>
      </c>
      <c r="P11" s="25">
        <f>C11*0.9</f>
        <v>0</v>
      </c>
      <c r="Q11" s="25">
        <f>VLOOKUP($D11,'대학별 변환표준점수'!$S:$T,2,FALSE)</f>
        <v>0</v>
      </c>
      <c r="R11" s="99">
        <f>VLOOKUP($D11,'대학별 변환표준점수'!$U:$V,2,FALSE)</f>
        <v>0</v>
      </c>
      <c r="S11" s="25">
        <f t="shared" ref="S11:S17" si="2">C11</f>
        <v>0</v>
      </c>
      <c r="T11" s="25">
        <f t="shared" ref="T11:T17" si="3">D11</f>
        <v>0</v>
      </c>
      <c r="U11" s="25">
        <f t="shared" ref="U11:U13" si="4">D11</f>
        <v>0</v>
      </c>
      <c r="V11" s="25">
        <f t="shared" ref="V11:V16" si="5">1000*0.2*C11/A11</f>
        <v>0</v>
      </c>
      <c r="W11" s="25">
        <f t="shared" ref="W11:W17" si="6">C11</f>
        <v>0</v>
      </c>
      <c r="X11" s="25">
        <f t="shared" ref="X11:X17" si="7">C11</f>
        <v>0</v>
      </c>
      <c r="Y11" s="25">
        <f t="shared" ref="Y11:Y17" si="8">D11</f>
        <v>0</v>
      </c>
      <c r="Z11" s="25">
        <f t="shared" ref="Z11:Z17" si="9">D11</f>
        <v>0</v>
      </c>
      <c r="AA11" s="25">
        <f>VLOOKUP(D11,'대학별 변환표준점수'!$W:$X,2,FALSE)</f>
        <v>0</v>
      </c>
      <c r="AB11" s="25">
        <f>VLOOKUP(D11,'대학별 변환표준점수'!$Y:$Z,2,FALSE)</f>
        <v>0</v>
      </c>
      <c r="AC11" s="25">
        <f>VLOOKUP(D11,'대학별 변환표준점수'!$AA:$AB,2,FALSE)</f>
        <v>0</v>
      </c>
      <c r="AD11" s="25">
        <f>VLOOKUP($C$11,서울대교차탐구!$E:$F,2,FALSE)</f>
        <v>0</v>
      </c>
      <c r="AE11" s="25">
        <f t="shared" ref="AE11:AE16" si="10">D11</f>
        <v>0</v>
      </c>
      <c r="AF11" s="25">
        <f>VLOOKUP($D11,서울대교차지원!N:O,2,FALSE)</f>
        <v>28.9</v>
      </c>
    </row>
    <row r="12" spans="1:32">
      <c r="A12">
        <v>71</v>
      </c>
      <c r="B12" s="79" t="s">
        <v>128</v>
      </c>
      <c r="C12" s="25">
        <f t="shared" si="0"/>
        <v>0</v>
      </c>
      <c r="D12" s="25">
        <f t="shared" si="1"/>
        <v>0</v>
      </c>
      <c r="E12">
        <v>100</v>
      </c>
      <c r="F12" s="25">
        <f>VLOOKUP($C$12,서울대과탐변표!$H:$I,2,FALSE)</f>
        <v>0</v>
      </c>
      <c r="G12" s="25">
        <f>VLOOKUP($D12,'대학별 변환표준점수'!$A:$B,2,FALSE)</f>
        <v>0</v>
      </c>
      <c r="H12" s="25">
        <f>VLOOKUP($D12,'대학별 변환표준점수'!$C:$D,2,FALSE)</f>
        <v>0</v>
      </c>
      <c r="I12" s="25">
        <f>VLOOKUP($D12,'대학별 변환표준점수'!$E:$F,2,FALSE)</f>
        <v>0</v>
      </c>
      <c r="J12" s="25">
        <f>VLOOKUP($D12,'대학별 변환표준점수'!$G:$H,2,FALSE)</f>
        <v>0</v>
      </c>
      <c r="K12" s="25">
        <f>VLOOKUP($D12,'대학별 변환표준점수'!$I:$J,2,FALSE)</f>
        <v>0</v>
      </c>
      <c r="L12" s="25">
        <f>VLOOKUP($D12,'대학별 변환표준점수'!$K:$L,2,FALSE)</f>
        <v>0</v>
      </c>
      <c r="M12" s="25">
        <f>VLOOKUP($D12,'대학별 변환표준점수'!$M:$N,2,FALSE)</f>
        <v>0</v>
      </c>
      <c r="N12" s="25">
        <f>VLOOKUP($D12,'대학별 변환표준점수'!$O:$P,2,FALSE)</f>
        <v>0</v>
      </c>
      <c r="O12" s="25">
        <f>VLOOKUP($D12,'대학별 변환표준점수'!$Q:$R,2,FALSE)</f>
        <v>0</v>
      </c>
      <c r="P12" s="25">
        <f>C12*0.9</f>
        <v>0</v>
      </c>
      <c r="Q12" s="25">
        <f>VLOOKUP($D12,'대학별 변환표준점수'!$S:$T,2,FALSE)</f>
        <v>0</v>
      </c>
      <c r="R12" s="99">
        <f>VLOOKUP($D12,'대학별 변환표준점수'!$U:$V,2,FALSE)</f>
        <v>0</v>
      </c>
      <c r="S12" s="25">
        <f t="shared" si="2"/>
        <v>0</v>
      </c>
      <c r="T12" s="25">
        <f t="shared" si="3"/>
        <v>0</v>
      </c>
      <c r="U12" s="25">
        <f t="shared" si="4"/>
        <v>0</v>
      </c>
      <c r="V12" s="25">
        <f t="shared" si="5"/>
        <v>0</v>
      </c>
      <c r="W12" s="25">
        <f t="shared" si="6"/>
        <v>0</v>
      </c>
      <c r="X12" s="25">
        <f t="shared" si="7"/>
        <v>0</v>
      </c>
      <c r="Y12" s="25">
        <f t="shared" si="8"/>
        <v>0</v>
      </c>
      <c r="Z12" s="25">
        <f t="shared" si="9"/>
        <v>0</v>
      </c>
      <c r="AA12" s="25">
        <f>VLOOKUP(D12,'대학별 변환표준점수'!$W:$X,2,FALSE)</f>
        <v>0</v>
      </c>
      <c r="AB12" s="25">
        <f>VLOOKUP(D12,'대학별 변환표준점수'!$Y:$Z,2,FALSE)</f>
        <v>0</v>
      </c>
      <c r="AC12" s="25">
        <f>VLOOKUP(D12,'대학별 변환표준점수'!$AA:$AB,2,FALSE)</f>
        <v>0</v>
      </c>
      <c r="AD12" s="25">
        <f>VLOOKUP($C$12,서울대교차탐구!$H:$I,2,FALSE)</f>
        <v>0</v>
      </c>
      <c r="AE12" s="25">
        <f t="shared" si="10"/>
        <v>0</v>
      </c>
      <c r="AF12" s="25">
        <f>VLOOKUP($D12,서울대교차지원!N:O,2,FALSE)</f>
        <v>28.9</v>
      </c>
    </row>
    <row r="13" spans="1:32">
      <c r="A13">
        <v>73</v>
      </c>
      <c r="B13" s="79" t="s">
        <v>129</v>
      </c>
      <c r="C13" s="25">
        <f t="shared" si="0"/>
        <v>0</v>
      </c>
      <c r="D13" s="25">
        <f t="shared" si="1"/>
        <v>0</v>
      </c>
      <c r="E13">
        <v>100</v>
      </c>
      <c r="F13" s="25">
        <f>VLOOKUP($C$13,서울대과탐변표!$K:$L,2,FALSE)</f>
        <v>0</v>
      </c>
      <c r="G13" s="25">
        <f>VLOOKUP($D13,'대학별 변환표준점수'!$A:$B,2,FALSE)</f>
        <v>0</v>
      </c>
      <c r="H13" s="25">
        <f>VLOOKUP($D13,'대학별 변환표준점수'!$C:$D,2,FALSE)</f>
        <v>0</v>
      </c>
      <c r="I13" s="25">
        <f>VLOOKUP($D13,'대학별 변환표준점수'!$E:$F,2,FALSE)</f>
        <v>0</v>
      </c>
      <c r="J13" s="25">
        <f>VLOOKUP($D13,'대학별 변환표준점수'!$G:$H,2,FALSE)</f>
        <v>0</v>
      </c>
      <c r="K13" s="25">
        <f>VLOOKUP($D13,'대학별 변환표준점수'!$I:$J,2,FALSE)</f>
        <v>0</v>
      </c>
      <c r="L13" s="25">
        <f>VLOOKUP($D13,'대학별 변환표준점수'!$K:$L,2,FALSE)</f>
        <v>0</v>
      </c>
      <c r="M13" s="25">
        <f>VLOOKUP($D13,'대학별 변환표준점수'!$M:$N,2,FALSE)</f>
        <v>0</v>
      </c>
      <c r="N13" s="25">
        <f>VLOOKUP($D13,'대학별 변환표준점수'!$O:$P,2,FALSE)</f>
        <v>0</v>
      </c>
      <c r="O13" s="25">
        <f>VLOOKUP($D13,'대학별 변환표준점수'!$Q:$R,2,FALSE)</f>
        <v>0</v>
      </c>
      <c r="P13" s="25">
        <f>C13*0.9</f>
        <v>0</v>
      </c>
      <c r="Q13" s="25">
        <f>VLOOKUP($D13,'대학별 변환표준점수'!$S:$T,2,FALSE)</f>
        <v>0</v>
      </c>
      <c r="R13" s="99">
        <f>VLOOKUP($D13,'대학별 변환표준점수'!$U:$V,2,FALSE)</f>
        <v>0</v>
      </c>
      <c r="S13" s="25">
        <f t="shared" si="2"/>
        <v>0</v>
      </c>
      <c r="T13" s="25">
        <f t="shared" si="3"/>
        <v>0</v>
      </c>
      <c r="U13" s="25">
        <f t="shared" si="4"/>
        <v>0</v>
      </c>
      <c r="V13" s="25">
        <f t="shared" si="5"/>
        <v>0</v>
      </c>
      <c r="W13" s="25">
        <f t="shared" si="6"/>
        <v>0</v>
      </c>
      <c r="X13" s="25">
        <f t="shared" si="7"/>
        <v>0</v>
      </c>
      <c r="Y13" s="25">
        <f t="shared" si="8"/>
        <v>0</v>
      </c>
      <c r="Z13" s="25">
        <f t="shared" si="9"/>
        <v>0</v>
      </c>
      <c r="AA13" s="25">
        <f>VLOOKUP(D13,'대학별 변환표준점수'!$W:$X,2,FALSE)</f>
        <v>0</v>
      </c>
      <c r="AB13" s="25">
        <f>VLOOKUP(D13,'대학별 변환표준점수'!$Y:$Z,2,FALSE)</f>
        <v>0</v>
      </c>
      <c r="AC13" s="25">
        <f>VLOOKUP(D13,'대학별 변환표준점수'!$AA:$AB,2,FALSE)</f>
        <v>0</v>
      </c>
      <c r="AD13" s="25">
        <f>VLOOKUP($C$13,서울대교차탐구!$K:$L,2,FALSE)</f>
        <v>0</v>
      </c>
      <c r="AE13" s="25">
        <v>0</v>
      </c>
      <c r="AF13" s="25">
        <f>VLOOKUP($D13,서울대교차지원!N:O,2,FALSE)</f>
        <v>28.9</v>
      </c>
    </row>
    <row r="14" spans="1:32">
      <c r="A14">
        <v>66</v>
      </c>
      <c r="B14" s="79" t="s">
        <v>130</v>
      </c>
      <c r="C14" s="25">
        <f t="shared" si="0"/>
        <v>0</v>
      </c>
      <c r="D14" s="25">
        <f t="shared" si="1"/>
        <v>0</v>
      </c>
      <c r="E14">
        <v>99</v>
      </c>
      <c r="F14" s="25">
        <f>VLOOKUP($C$14,서울대과탐변표!$N:$O,2,FALSE)</f>
        <v>0</v>
      </c>
      <c r="G14" s="25">
        <f>VLOOKUP($D14,'대학별 변환표준점수'!$A:$B,2,FALSE)</f>
        <v>0</v>
      </c>
      <c r="H14" s="25">
        <f>VLOOKUP($D14,'대학별 변환표준점수'!$C:$D,2,FALSE)</f>
        <v>0</v>
      </c>
      <c r="I14" s="25">
        <f>VLOOKUP($D14,'대학별 변환표준점수'!$E:$F,2,FALSE)</f>
        <v>0</v>
      </c>
      <c r="J14" s="25">
        <f>VLOOKUP($D14,'대학별 변환표준점수'!$G:$H,2,FALSE)</f>
        <v>0</v>
      </c>
      <c r="K14" s="25">
        <f>VLOOKUP($D14,'대학별 변환표준점수'!$I:$J,2,FALSE)*1.03</f>
        <v>0</v>
      </c>
      <c r="L14" s="25">
        <f>VLOOKUP($D14,'대학별 변환표준점수'!$K:$L,2,FALSE)</f>
        <v>0</v>
      </c>
      <c r="M14" s="25">
        <f>VLOOKUP($D14,'대학별 변환표준점수'!$M:$N,2,FALSE)</f>
        <v>0</v>
      </c>
      <c r="N14" s="25">
        <f>VLOOKUP($D14,'대학별 변환표준점수'!$O:$P,2,FALSE)</f>
        <v>0</v>
      </c>
      <c r="O14" s="25">
        <f>VLOOKUP($D14,'대학별 변환표준점수'!$Q:$R,2,FALSE)</f>
        <v>0</v>
      </c>
      <c r="P14">
        <f>C14</f>
        <v>0</v>
      </c>
      <c r="Q14" s="25">
        <f>VLOOKUP($D14,'대학별 변환표준점수'!$S:$T,2,FALSE)</f>
        <v>0</v>
      </c>
      <c r="R14" s="99">
        <f>VLOOKUP($D14,'대학별 변환표준점수'!$U:$V,2,FALSE)</f>
        <v>0</v>
      </c>
      <c r="S14" s="25">
        <f t="shared" si="2"/>
        <v>0</v>
      </c>
      <c r="T14" s="25">
        <f t="shared" si="3"/>
        <v>0</v>
      </c>
      <c r="U14" s="25">
        <f>D14*1.05</f>
        <v>0</v>
      </c>
      <c r="V14" s="25">
        <f t="shared" si="5"/>
        <v>0</v>
      </c>
      <c r="W14" s="25">
        <f t="shared" si="6"/>
        <v>0</v>
      </c>
      <c r="X14" s="25">
        <f t="shared" si="7"/>
        <v>0</v>
      </c>
      <c r="Y14" s="25">
        <f t="shared" si="8"/>
        <v>0</v>
      </c>
      <c r="Z14" s="25">
        <f t="shared" si="9"/>
        <v>0</v>
      </c>
      <c r="AA14" s="25">
        <f>VLOOKUP(D14,'대학별 변환표준점수'!$W:$X,2,FALSE)</f>
        <v>0</v>
      </c>
      <c r="AB14" s="25">
        <f>VLOOKUP(D14,'대학별 변환표준점수'!$Y:$Z,2,FALSE)</f>
        <v>0</v>
      </c>
      <c r="AC14" s="25">
        <f>VLOOKUP(D14,'대학별 변환표준점수'!$AA:$AB,2,FALSE)</f>
        <v>0</v>
      </c>
      <c r="AD14" s="25">
        <f>VLOOKUP($C$14,서울대교차탐구!$N:$O,2,FALSE)</f>
        <v>0</v>
      </c>
      <c r="AE14" s="25">
        <f t="shared" si="10"/>
        <v>0</v>
      </c>
      <c r="AF14" s="25">
        <f>VLOOKUP($D14,서울대교차지원!N:O,2,FALSE)</f>
        <v>28.9</v>
      </c>
    </row>
    <row r="15" spans="1:32">
      <c r="A15">
        <v>72</v>
      </c>
      <c r="B15" s="79" t="s">
        <v>131</v>
      </c>
      <c r="C15" s="25">
        <f t="shared" si="0"/>
        <v>67</v>
      </c>
      <c r="D15" s="25">
        <f t="shared" si="1"/>
        <v>94</v>
      </c>
      <c r="E15">
        <v>100</v>
      </c>
      <c r="F15" s="25">
        <f>VLOOKUP($C$15,서울대과탐변표!$Q:$R,2,FALSE)</f>
        <v>65.83</v>
      </c>
      <c r="G15" s="25">
        <f>VLOOKUP($D15,'대학별 변환표준점수'!$A:$B,2,FALSE)</f>
        <v>64.81</v>
      </c>
      <c r="H15" s="25">
        <f>VLOOKUP($D15,'대학별 변환표준점수'!$C:$D,2,FALSE)</f>
        <v>64.81</v>
      </c>
      <c r="I15" s="25">
        <f>VLOOKUP($D15,'대학별 변환표준점수'!$E:$F,2,FALSE)</f>
        <v>64.81</v>
      </c>
      <c r="J15" s="25">
        <f>VLOOKUP($D15,'대학별 변환표준점수'!$G:$H,2,FALSE)</f>
        <v>65.91</v>
      </c>
      <c r="K15" s="25">
        <f>VLOOKUP($D15,'대학별 변환표준점수'!$I:$J,2,FALSE)*1.03</f>
        <v>66.754300000000001</v>
      </c>
      <c r="L15" s="25">
        <f>VLOOKUP($D15,'대학별 변환표준점수'!$K:$L,2,FALSE)</f>
        <v>64.81</v>
      </c>
      <c r="M15" s="25">
        <f>VLOOKUP($D15,'대학별 변환표준점수'!$M:$N,2,FALSE)</f>
        <v>64.81</v>
      </c>
      <c r="N15" s="25">
        <f>VLOOKUP($D15,'대학별 변환표준점수'!$O:$P,2,FALSE)</f>
        <v>97.75</v>
      </c>
      <c r="O15" s="25">
        <f>VLOOKUP($D15,'대학별 변환표준점수'!$Q:$R,2,FALSE)</f>
        <v>64.81</v>
      </c>
      <c r="P15" s="25">
        <f>C15</f>
        <v>67</v>
      </c>
      <c r="Q15" s="25">
        <f>VLOOKUP($D15,'대학별 변환표준점수'!$S:$T,2,FALSE)</f>
        <v>64.81</v>
      </c>
      <c r="R15" s="99">
        <f>VLOOKUP($D15,'대학별 변환표준점수'!$U:$V,2,FALSE)</f>
        <v>64.75</v>
      </c>
      <c r="S15" s="25">
        <f t="shared" si="2"/>
        <v>67</v>
      </c>
      <c r="T15" s="25">
        <f t="shared" si="3"/>
        <v>94</v>
      </c>
      <c r="U15" s="25">
        <f>D15*1.05</f>
        <v>98.7</v>
      </c>
      <c r="V15" s="25">
        <f t="shared" si="5"/>
        <v>186.11111111111111</v>
      </c>
      <c r="W15" s="25">
        <f t="shared" si="6"/>
        <v>67</v>
      </c>
      <c r="X15" s="25">
        <f t="shared" si="7"/>
        <v>67</v>
      </c>
      <c r="Y15" s="25">
        <f t="shared" si="8"/>
        <v>94</v>
      </c>
      <c r="Z15" s="25">
        <f t="shared" si="9"/>
        <v>94</v>
      </c>
      <c r="AA15" s="25">
        <f>VLOOKUP(D15,'대학별 변환표준점수'!$W:$X,2,FALSE)</f>
        <v>64.81</v>
      </c>
      <c r="AB15" s="25">
        <f>VLOOKUP(D15,'대학별 변환표준점수'!$Y:$Z,2,FALSE)</f>
        <v>64.81</v>
      </c>
      <c r="AC15" s="25">
        <f>VLOOKUP(D15,'대학별 변환표준점수'!$AA:$AB,2,FALSE)</f>
        <v>64.81</v>
      </c>
      <c r="AD15" s="25">
        <f>VLOOKUP($C$15,서울대교차탐구!$Q:$R,2,FALSE)</f>
        <v>65.099999999999994</v>
      </c>
      <c r="AE15" s="25">
        <f t="shared" si="10"/>
        <v>94</v>
      </c>
      <c r="AF15" s="25">
        <f>VLOOKUP($D15,서울대교차지원!N:O,2,FALSE)</f>
        <v>64.33</v>
      </c>
    </row>
    <row r="16" spans="1:32">
      <c r="A16">
        <v>67</v>
      </c>
      <c r="B16" s="79" t="s">
        <v>132</v>
      </c>
      <c r="C16" s="25">
        <f t="shared" si="0"/>
        <v>0</v>
      </c>
      <c r="D16" s="25">
        <f t="shared" si="1"/>
        <v>0</v>
      </c>
      <c r="E16">
        <v>98</v>
      </c>
      <c r="F16" s="25">
        <f>VLOOKUP($C$16,서울대과탐변표!$T:$U,2,FALSE)</f>
        <v>0</v>
      </c>
      <c r="G16" s="25">
        <f>VLOOKUP($D16,'대학별 변환표준점수'!$A:$B,2,FALSE)</f>
        <v>0</v>
      </c>
      <c r="H16" s="25">
        <f>VLOOKUP($D16,'대학별 변환표준점수'!$C:$D,2,FALSE)</f>
        <v>0</v>
      </c>
      <c r="I16" s="25">
        <f>VLOOKUP($D16,'대학별 변환표준점수'!$E:$F,2,FALSE)</f>
        <v>0</v>
      </c>
      <c r="J16" s="25">
        <f>VLOOKUP($D16,'대학별 변환표준점수'!$G:$H,2,FALSE)</f>
        <v>0</v>
      </c>
      <c r="K16" s="25">
        <f>VLOOKUP($D16,'대학별 변환표준점수'!$I:$J,2,FALSE)*1.03</f>
        <v>0</v>
      </c>
      <c r="L16" s="25">
        <f>VLOOKUP($D16,'대학별 변환표준점수'!$K:$L,2,FALSE)</f>
        <v>0</v>
      </c>
      <c r="M16" s="25">
        <f>VLOOKUP($D16,'대학별 변환표준점수'!$M:$N,2,FALSE)</f>
        <v>0</v>
      </c>
      <c r="N16" s="25">
        <f>VLOOKUP($D16,'대학별 변환표준점수'!$O:$P,2,FALSE)</f>
        <v>0</v>
      </c>
      <c r="O16" s="25">
        <f>VLOOKUP($D16,'대학별 변환표준점수'!$Q:$R,2,FALSE)</f>
        <v>0</v>
      </c>
      <c r="P16" s="25">
        <f>C16</f>
        <v>0</v>
      </c>
      <c r="Q16" s="25">
        <f>VLOOKUP($D16,'대학별 변환표준점수'!$S:$T,2,FALSE)</f>
        <v>0</v>
      </c>
      <c r="R16" s="99">
        <f>VLOOKUP($D16,'대학별 변환표준점수'!$U:$V,2,FALSE)</f>
        <v>0</v>
      </c>
      <c r="S16" s="25">
        <f t="shared" si="2"/>
        <v>0</v>
      </c>
      <c r="T16" s="25">
        <f t="shared" si="3"/>
        <v>0</v>
      </c>
      <c r="U16" s="25">
        <f>D16*1.05</f>
        <v>0</v>
      </c>
      <c r="V16" s="25">
        <f t="shared" si="5"/>
        <v>0</v>
      </c>
      <c r="W16" s="25">
        <f t="shared" si="6"/>
        <v>0</v>
      </c>
      <c r="X16" s="25">
        <f t="shared" si="7"/>
        <v>0</v>
      </c>
      <c r="Y16" s="25">
        <f t="shared" si="8"/>
        <v>0</v>
      </c>
      <c r="Z16" s="25">
        <f t="shared" si="9"/>
        <v>0</v>
      </c>
      <c r="AA16" s="25">
        <f>VLOOKUP(D16,'대학별 변환표준점수'!$W:$X,2,FALSE)</f>
        <v>0</v>
      </c>
      <c r="AB16" s="25">
        <f>VLOOKUP(D16,'대학별 변환표준점수'!$Y:$Z,2,FALSE)</f>
        <v>0</v>
      </c>
      <c r="AC16" s="25">
        <f>VLOOKUP(D16,'대학별 변환표준점수'!$AA:$AB,2,FALSE)</f>
        <v>0</v>
      </c>
      <c r="AD16" s="25">
        <f>VLOOKUP($C$16,서울대교차탐구!$T:$U,2,FALSE)</f>
        <v>0</v>
      </c>
      <c r="AE16" s="25">
        <f t="shared" si="10"/>
        <v>0</v>
      </c>
      <c r="AF16" s="25">
        <f>VLOOKUP($D16,서울대교차지원!N:O,2,FALSE)</f>
        <v>28.9</v>
      </c>
    </row>
    <row r="17" spans="1:32">
      <c r="A17">
        <v>68</v>
      </c>
      <c r="B17" s="79" t="s">
        <v>133</v>
      </c>
      <c r="C17" s="25">
        <f t="shared" si="0"/>
        <v>0</v>
      </c>
      <c r="D17" s="25">
        <f t="shared" si="1"/>
        <v>0</v>
      </c>
      <c r="E17">
        <v>99</v>
      </c>
      <c r="F17" s="25">
        <f>VLOOKUP($C$17,서울대과탐변표!$W:$X,2,FALSE)</f>
        <v>0</v>
      </c>
      <c r="G17" s="25">
        <f>VLOOKUP($D17,'대학별 변환표준점수'!$A:$B,2,FALSE)</f>
        <v>0</v>
      </c>
      <c r="H17" s="25">
        <f>VLOOKUP($D17,'대학별 변환표준점수'!$C:$D,2,FALSE)</f>
        <v>0</v>
      </c>
      <c r="I17" s="25">
        <f>VLOOKUP($D17,'대학별 변환표준점수'!$E:$F,2,FALSE)</f>
        <v>0</v>
      </c>
      <c r="J17" s="25">
        <f>VLOOKUP($D17,'대학별 변환표준점수'!$G:$H,2,FALSE)</f>
        <v>0</v>
      </c>
      <c r="K17" s="25">
        <f>VLOOKUP($D17,'대학별 변환표준점수'!$I:$J,2,FALSE)*1.03</f>
        <v>0</v>
      </c>
      <c r="L17" s="25">
        <f>VLOOKUP($D17,'대학별 변환표준점수'!$K:$L,2,FALSE)</f>
        <v>0</v>
      </c>
      <c r="M17" s="25">
        <f>VLOOKUP($D17,'대학별 변환표준점수'!$M:$N,2,FALSE)</f>
        <v>0</v>
      </c>
      <c r="N17" s="25">
        <f>VLOOKUP($D17,'대학별 변환표준점수'!$O:$P,2,FALSE)</f>
        <v>0</v>
      </c>
      <c r="O17" s="25">
        <f>VLOOKUP($D17,'대학별 변환표준점수'!$Q:$R,2,FALSE)</f>
        <v>0</v>
      </c>
      <c r="P17" s="25">
        <f>C17</f>
        <v>0</v>
      </c>
      <c r="Q17" s="25">
        <f>VLOOKUP($D17,'대학별 변환표준점수'!$S:$T,2,FALSE)</f>
        <v>0</v>
      </c>
      <c r="R17" s="99">
        <f>VLOOKUP($D17,'대학별 변환표준점수'!$U:$V,2,FALSE)</f>
        <v>0</v>
      </c>
      <c r="S17" s="25">
        <f t="shared" si="2"/>
        <v>0</v>
      </c>
      <c r="T17" s="25">
        <f t="shared" si="3"/>
        <v>0</v>
      </c>
      <c r="U17" s="25">
        <f>D17*1.05</f>
        <v>0</v>
      </c>
      <c r="V17" s="25">
        <f>C17/A17</f>
        <v>0</v>
      </c>
      <c r="W17" s="25">
        <f t="shared" si="6"/>
        <v>0</v>
      </c>
      <c r="X17" s="25">
        <f t="shared" si="7"/>
        <v>0</v>
      </c>
      <c r="Y17" s="25">
        <f t="shared" si="8"/>
        <v>0</v>
      </c>
      <c r="Z17" s="25">
        <f t="shared" si="9"/>
        <v>0</v>
      </c>
      <c r="AA17" s="25">
        <f>VLOOKUP(D17,'대학별 변환표준점수'!$W:$X,2,FALSE)</f>
        <v>0</v>
      </c>
      <c r="AB17" s="25">
        <f>VLOOKUP(D17,'대학별 변환표준점수'!$Y:$Z,2,FALSE)</f>
        <v>0</v>
      </c>
      <c r="AC17" s="25">
        <f>VLOOKUP(D17,'대학별 변환표준점수'!$AA:$AB,2,FALSE)</f>
        <v>0</v>
      </c>
      <c r="AD17" s="25">
        <f>VLOOKUP($C$17,서울대교차탐구!$W:$X,2,FALSE)</f>
        <v>0</v>
      </c>
      <c r="AE17" s="25">
        <v>0</v>
      </c>
      <c r="AF17" s="25">
        <f>VLOOKUP($D17,서울대교차지원!N:O,2,FALSE)</f>
        <v>28.9</v>
      </c>
    </row>
    <row r="18" spans="1:32">
      <c r="E18" t="s">
        <v>159</v>
      </c>
      <c r="F18">
        <f>LARGE(F$10:F$17,1)</f>
        <v>65.83</v>
      </c>
      <c r="G18" s="25">
        <f t="shared" ref="G18:AF18" si="11">LARGE(G$10:G$17,1)</f>
        <v>64.81</v>
      </c>
      <c r="H18" s="25">
        <f t="shared" si="11"/>
        <v>64.81</v>
      </c>
      <c r="I18" s="25">
        <f t="shared" si="11"/>
        <v>64.81</v>
      </c>
      <c r="J18" s="25">
        <f t="shared" si="11"/>
        <v>65.91</v>
      </c>
      <c r="K18" s="25">
        <f t="shared" si="11"/>
        <v>66.754300000000001</v>
      </c>
      <c r="L18" s="25">
        <f t="shared" si="11"/>
        <v>64.81</v>
      </c>
      <c r="M18" s="25">
        <f t="shared" si="11"/>
        <v>64.81</v>
      </c>
      <c r="N18" s="25">
        <f t="shared" si="11"/>
        <v>97.75</v>
      </c>
      <c r="O18" s="25">
        <f t="shared" si="11"/>
        <v>64.81</v>
      </c>
      <c r="P18" s="25">
        <f t="shared" si="11"/>
        <v>67</v>
      </c>
      <c r="Q18" s="25">
        <f t="shared" si="11"/>
        <v>64.81</v>
      </c>
      <c r="R18" s="99">
        <f t="shared" si="11"/>
        <v>64.75</v>
      </c>
      <c r="S18" s="99">
        <f t="shared" si="11"/>
        <v>67</v>
      </c>
      <c r="T18" s="99">
        <f t="shared" si="11"/>
        <v>94</v>
      </c>
      <c r="U18" s="99">
        <f t="shared" si="11"/>
        <v>98.7</v>
      </c>
      <c r="V18" s="99">
        <f t="shared" si="11"/>
        <v>191.30434782608697</v>
      </c>
      <c r="W18" s="99">
        <f t="shared" si="11"/>
        <v>67</v>
      </c>
      <c r="X18" s="99">
        <f t="shared" si="11"/>
        <v>67</v>
      </c>
      <c r="Y18" s="99">
        <f t="shared" si="11"/>
        <v>94</v>
      </c>
      <c r="Z18" s="99">
        <f t="shared" si="11"/>
        <v>94</v>
      </c>
      <c r="AA18" s="99">
        <f t="shared" si="11"/>
        <v>64.81</v>
      </c>
      <c r="AB18" s="99">
        <f t="shared" si="11"/>
        <v>64.81</v>
      </c>
      <c r="AC18" s="99">
        <f t="shared" si="11"/>
        <v>64.81</v>
      </c>
      <c r="AD18" s="99">
        <f t="shared" si="11"/>
        <v>65.099999999999994</v>
      </c>
      <c r="AE18" s="99">
        <f t="shared" si="11"/>
        <v>94</v>
      </c>
      <c r="AF18" s="25">
        <f t="shared" si="11"/>
        <v>64.33</v>
      </c>
    </row>
    <row r="19" spans="1:32">
      <c r="E19" t="s">
        <v>160</v>
      </c>
      <c r="F19" s="25">
        <f>LARGE(F$10:F$17,2)</f>
        <v>65.319999999999993</v>
      </c>
      <c r="G19" s="25">
        <f t="shared" ref="G19:AF19" si="12">LARGE(G$10:G$17,2)</f>
        <v>63.92</v>
      </c>
      <c r="H19" s="25">
        <f t="shared" si="12"/>
        <v>63.91</v>
      </c>
      <c r="I19" s="25">
        <f t="shared" si="12"/>
        <v>63.92</v>
      </c>
      <c r="J19" s="25">
        <f t="shared" si="12"/>
        <v>65.02</v>
      </c>
      <c r="K19" s="25">
        <f t="shared" si="12"/>
        <v>63.92</v>
      </c>
      <c r="L19" s="25">
        <f t="shared" si="12"/>
        <v>63.96</v>
      </c>
      <c r="M19" s="25">
        <f t="shared" si="12"/>
        <v>63.91</v>
      </c>
      <c r="N19" s="25">
        <f t="shared" si="12"/>
        <v>96.39</v>
      </c>
      <c r="O19" s="25">
        <f t="shared" si="12"/>
        <v>63.98</v>
      </c>
      <c r="P19" s="25">
        <f t="shared" si="12"/>
        <v>59.4</v>
      </c>
      <c r="Q19" s="25">
        <f t="shared" si="12"/>
        <v>63.91</v>
      </c>
      <c r="R19" s="99">
        <f t="shared" si="12"/>
        <v>64.38</v>
      </c>
      <c r="S19" s="99">
        <f t="shared" si="12"/>
        <v>66</v>
      </c>
      <c r="T19" s="99">
        <f t="shared" si="12"/>
        <v>92</v>
      </c>
      <c r="U19" s="99">
        <f t="shared" si="12"/>
        <v>92</v>
      </c>
      <c r="V19" s="99">
        <f t="shared" si="12"/>
        <v>186.11111111111111</v>
      </c>
      <c r="W19" s="99">
        <f t="shared" si="12"/>
        <v>66</v>
      </c>
      <c r="X19" s="99">
        <f t="shared" si="12"/>
        <v>66</v>
      </c>
      <c r="Y19" s="99">
        <f t="shared" si="12"/>
        <v>92</v>
      </c>
      <c r="Z19" s="99">
        <f t="shared" si="12"/>
        <v>92</v>
      </c>
      <c r="AA19" s="99">
        <f t="shared" si="12"/>
        <v>63.92</v>
      </c>
      <c r="AB19" s="99">
        <f t="shared" si="12"/>
        <v>63.91</v>
      </c>
      <c r="AC19" s="99">
        <f t="shared" si="12"/>
        <v>63.92</v>
      </c>
      <c r="AD19" s="99">
        <f t="shared" si="12"/>
        <v>64.7</v>
      </c>
      <c r="AE19" s="99">
        <f t="shared" si="12"/>
        <v>92</v>
      </c>
      <c r="AF19" s="25">
        <f t="shared" si="12"/>
        <v>63.7</v>
      </c>
    </row>
    <row r="20" spans="1:32">
      <c r="AE20">
        <f>IF(E1*F1=0,0,1)</f>
        <v>1</v>
      </c>
    </row>
    <row r="21" spans="1:32">
      <c r="E21" s="25" t="s">
        <v>159</v>
      </c>
      <c r="F21" s="25" t="s">
        <v>160</v>
      </c>
    </row>
    <row r="22" spans="1:32">
      <c r="D22" s="25" t="s">
        <v>149</v>
      </c>
      <c r="E22" s="25">
        <f>LARGE(F$10:F$17,1)</f>
        <v>65.83</v>
      </c>
      <c r="F22" s="25">
        <f>LARGE(F$10:F$17,2)</f>
        <v>65.319999999999993</v>
      </c>
    </row>
    <row r="23" spans="1:32">
      <c r="D23" s="25" t="s">
        <v>150</v>
      </c>
      <c r="E23" s="25">
        <f>LARGE(G$10:G$17,1)</f>
        <v>64.81</v>
      </c>
      <c r="F23" s="25">
        <f>LARGE(G$10:G$17,2)</f>
        <v>63.92</v>
      </c>
    </row>
    <row r="24" spans="1:32">
      <c r="D24" s="25" t="s">
        <v>151</v>
      </c>
      <c r="E24" s="25">
        <f>LARGE(H$10:H$17,1)</f>
        <v>64.81</v>
      </c>
      <c r="F24" s="25">
        <f>LARGE(H$10:H$17,2)</f>
        <v>63.91</v>
      </c>
    </row>
    <row r="25" spans="1:32">
      <c r="D25" s="25" t="s">
        <v>152</v>
      </c>
      <c r="E25" s="25">
        <f>LARGE(I$10:I$17,1)</f>
        <v>64.81</v>
      </c>
      <c r="F25" s="25">
        <f>LARGE(I$10:I$17,2)</f>
        <v>63.92</v>
      </c>
      <c r="J25">
        <f>IF(C15+C16&gt;0,3,0)</f>
        <v>3</v>
      </c>
    </row>
    <row r="26" spans="1:32">
      <c r="D26" s="25" t="s">
        <v>153</v>
      </c>
      <c r="E26" s="25">
        <f>LARGE(J$10:J$17,1)</f>
        <v>65.91</v>
      </c>
      <c r="F26" s="25">
        <f>LARGE(J$10:J$17,2)</f>
        <v>65.02</v>
      </c>
    </row>
    <row r="27" spans="1:32">
      <c r="D27" s="25" t="s">
        <v>154</v>
      </c>
      <c r="E27" s="25">
        <f>LARGE(K$10:K$17,1)</f>
        <v>66.754300000000001</v>
      </c>
      <c r="F27" s="25">
        <f>LARGE(K$10:K$17,2)</f>
        <v>63.92</v>
      </c>
    </row>
    <row r="28" spans="1:32">
      <c r="D28" s="25" t="s">
        <v>155</v>
      </c>
      <c r="E28" s="25">
        <f>LARGE(L$10:L$17,1)</f>
        <v>64.81</v>
      </c>
      <c r="F28" s="25">
        <f>LARGE(L$10:L$17,2)</f>
        <v>63.96</v>
      </c>
    </row>
    <row r="29" spans="1:32">
      <c r="D29" s="25" t="s">
        <v>156</v>
      </c>
      <c r="E29" s="25">
        <f>LARGE(M$10:M$17,1)</f>
        <v>64.81</v>
      </c>
      <c r="F29" s="25">
        <f>LARGE(M$10:M$17,2)</f>
        <v>63.91</v>
      </c>
    </row>
    <row r="30" spans="1:32">
      <c r="D30" s="25" t="s">
        <v>157</v>
      </c>
      <c r="E30" s="25">
        <f>LARGE(N$10:N$17,1)</f>
        <v>97.75</v>
      </c>
      <c r="F30" s="25">
        <f>LARGE(N$10:N$17,2)</f>
        <v>96.39</v>
      </c>
    </row>
    <row r="31" spans="1:32">
      <c r="D31" s="25" t="s">
        <v>158</v>
      </c>
      <c r="E31" s="25">
        <f>LARGE(O$10:O$17,1)</f>
        <v>64.81</v>
      </c>
      <c r="F31" s="25">
        <f>LARGE(O$10:O$17,2)</f>
        <v>63.98</v>
      </c>
    </row>
    <row r="32" spans="1:32">
      <c r="D32" t="s">
        <v>31</v>
      </c>
      <c r="E32" s="25">
        <f>LARGE(P$10:P$17,1)</f>
        <v>67</v>
      </c>
      <c r="F32" s="25">
        <f>LARGE(P$10:P$17,2)</f>
        <v>59.4</v>
      </c>
    </row>
    <row r="33" spans="4:6">
      <c r="D33" t="s">
        <v>197</v>
      </c>
      <c r="E33">
        <f>Q18</f>
        <v>64.81</v>
      </c>
      <c r="F33">
        <f>Q19</f>
        <v>63.91</v>
      </c>
    </row>
    <row r="34" spans="4:6">
      <c r="D34" t="s">
        <v>205</v>
      </c>
      <c r="E34" s="99">
        <f>R18</f>
        <v>64.75</v>
      </c>
      <c r="F34" s="99">
        <f>R19</f>
        <v>64.38</v>
      </c>
    </row>
    <row r="35" spans="4:6">
      <c r="D35" t="s">
        <v>212</v>
      </c>
      <c r="E35" s="99">
        <f>S18</f>
        <v>67</v>
      </c>
      <c r="F35" s="99">
        <f>S19</f>
        <v>66</v>
      </c>
    </row>
    <row r="36" spans="4:6">
      <c r="D36" t="s">
        <v>217</v>
      </c>
      <c r="E36" s="99">
        <f>T18</f>
        <v>94</v>
      </c>
      <c r="F36" s="99">
        <f>T19</f>
        <v>92</v>
      </c>
    </row>
    <row r="37" spans="4:6">
      <c r="D37" t="s">
        <v>220</v>
      </c>
      <c r="E37" s="99">
        <f>U18</f>
        <v>98.7</v>
      </c>
      <c r="F37" s="99"/>
    </row>
    <row r="38" spans="4:6">
      <c r="D38" t="s">
        <v>230</v>
      </c>
      <c r="E38" s="99">
        <f>V18*0.5</f>
        <v>95.652173913043484</v>
      </c>
      <c r="F38" s="99">
        <f>V19*0.5</f>
        <v>93.055555555555557</v>
      </c>
    </row>
    <row r="39" spans="4:6">
      <c r="D39" t="s">
        <v>234</v>
      </c>
      <c r="E39" s="99">
        <f>W18</f>
        <v>67</v>
      </c>
      <c r="F39" s="99">
        <f>W19</f>
        <v>66</v>
      </c>
    </row>
    <row r="40" spans="4:6">
      <c r="D40" t="s">
        <v>248</v>
      </c>
      <c r="E40" s="99">
        <f>X18</f>
        <v>67</v>
      </c>
      <c r="F40" s="99">
        <f>X19</f>
        <v>66</v>
      </c>
    </row>
    <row r="41" spans="4:6">
      <c r="D41" t="s">
        <v>247</v>
      </c>
      <c r="E41" s="99">
        <f>Y18</f>
        <v>94</v>
      </c>
      <c r="F41" s="99">
        <f>Y19</f>
        <v>92</v>
      </c>
    </row>
    <row r="42" spans="4:6">
      <c r="D42" t="s">
        <v>251</v>
      </c>
      <c r="E42" s="99">
        <f>Z18</f>
        <v>94</v>
      </c>
      <c r="F42" s="99">
        <f>Z19</f>
        <v>92</v>
      </c>
    </row>
    <row r="43" spans="4:6">
      <c r="D43" t="s">
        <v>329</v>
      </c>
      <c r="E43" s="99">
        <f>AA18</f>
        <v>64.81</v>
      </c>
      <c r="F43" s="99">
        <f>AA19</f>
        <v>63.92</v>
      </c>
    </row>
    <row r="44" spans="4:6">
      <c r="D44" t="s">
        <v>338</v>
      </c>
      <c r="E44" s="99">
        <f>AB18</f>
        <v>64.81</v>
      </c>
      <c r="F44" s="99">
        <f>AB19</f>
        <v>63.91</v>
      </c>
    </row>
    <row r="45" spans="4:6">
      <c r="D45" t="s">
        <v>339</v>
      </c>
      <c r="E45" s="99">
        <f>AC18</f>
        <v>64.81</v>
      </c>
      <c r="F45" s="99">
        <f>AC19</f>
        <v>63.92</v>
      </c>
    </row>
    <row r="46" spans="4:6">
      <c r="D46" t="s">
        <v>382</v>
      </c>
      <c r="E46" s="99">
        <f>AD18</f>
        <v>65.099999999999994</v>
      </c>
      <c r="F46" s="99">
        <f>AD19</f>
        <v>64.7</v>
      </c>
    </row>
    <row r="47" spans="4:6">
      <c r="D47" t="s">
        <v>386</v>
      </c>
      <c r="E47" s="99">
        <f>AE18</f>
        <v>94</v>
      </c>
      <c r="F47" s="99">
        <f>AE19</f>
        <v>92</v>
      </c>
    </row>
    <row r="48" spans="4:6">
      <c r="D48" t="s">
        <v>516</v>
      </c>
      <c r="E48">
        <f>AF18</f>
        <v>64.33</v>
      </c>
      <c r="F48">
        <f>AF19</f>
        <v>63.7</v>
      </c>
    </row>
  </sheetData>
  <sheetProtection algorithmName="SHA-512" hashValue="pUj3U8YjRxPxaJMDVZBDaMTs5vJk5kr2ZHfRV3kYOAsueX4c6u2lC4eKbnX7RwwSWuqcIG12zlLb196pG8w5lA==" saltValue="d3EV9qX+I79BkYURKLeb+A==" spinCount="100000" sheet="1" objects="1" scenarios="1" selectLockedCells="1" selectUnlockedCells="1"/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325"/>
  <sheetViews>
    <sheetView workbookViewId="0">
      <selection activeCell="I18" sqref="I18"/>
    </sheetView>
  </sheetViews>
  <sheetFormatPr defaultRowHeight="16.5"/>
  <cols>
    <col min="2" max="2" width="7.125" style="47"/>
    <col min="3" max="3" width="8.75" style="48" customWidth="1"/>
    <col min="4" max="4" width="7.125" style="48"/>
    <col min="5" max="5" width="7.125" style="47"/>
    <col min="6" max="6" width="7.125" style="48"/>
    <col min="7" max="7" width="7.125" style="47"/>
    <col min="8" max="8" width="7.125" style="48"/>
    <col min="9" max="9" width="11" style="45" customWidth="1"/>
  </cols>
  <sheetData>
    <row r="1" spans="2:9">
      <c r="B1" s="46" t="s">
        <v>86</v>
      </c>
      <c r="C1" s="46" t="s">
        <v>85</v>
      </c>
      <c r="D1" s="46" t="s">
        <v>80</v>
      </c>
      <c r="E1" s="46" t="s">
        <v>81</v>
      </c>
      <c r="F1" s="46" t="s">
        <v>81</v>
      </c>
      <c r="G1" s="46" t="s">
        <v>82</v>
      </c>
      <c r="H1" s="46" t="s">
        <v>82</v>
      </c>
      <c r="I1" s="44" t="s">
        <v>84</v>
      </c>
    </row>
    <row r="2" spans="2:9">
      <c r="B2" s="47">
        <v>246</v>
      </c>
      <c r="C2" s="47">
        <v>187</v>
      </c>
      <c r="D2" s="47">
        <v>169</v>
      </c>
      <c r="E2" s="47">
        <v>191</v>
      </c>
      <c r="F2" s="47">
        <v>135</v>
      </c>
      <c r="G2" s="47">
        <v>137</v>
      </c>
      <c r="H2" s="47">
        <v>79</v>
      </c>
      <c r="I2" s="45">
        <v>99.899999999999849</v>
      </c>
    </row>
    <row r="3" spans="2:9">
      <c r="B3" s="47">
        <v>247</v>
      </c>
      <c r="C3" s="47">
        <v>194</v>
      </c>
      <c r="D3" s="47">
        <v>169</v>
      </c>
      <c r="E3" s="47">
        <v>191</v>
      </c>
      <c r="F3" s="47">
        <v>137</v>
      </c>
      <c r="G3" s="47">
        <v>137</v>
      </c>
      <c r="H3" s="47">
        <v>79</v>
      </c>
      <c r="I3" s="45">
        <v>99.849999999999852</v>
      </c>
    </row>
    <row r="4" spans="2:9">
      <c r="B4" s="47">
        <v>248</v>
      </c>
      <c r="C4" s="47">
        <v>194</v>
      </c>
      <c r="D4" s="47">
        <v>169</v>
      </c>
      <c r="E4" s="47">
        <v>192</v>
      </c>
      <c r="F4" s="47">
        <v>137</v>
      </c>
      <c r="G4" s="47">
        <v>138</v>
      </c>
      <c r="H4" s="47">
        <v>79</v>
      </c>
      <c r="I4" s="45">
        <v>99.799999999999855</v>
      </c>
    </row>
    <row r="5" spans="2:9">
      <c r="B5" s="47">
        <v>249</v>
      </c>
      <c r="C5" s="47">
        <v>194</v>
      </c>
      <c r="D5" s="47">
        <v>169</v>
      </c>
      <c r="E5" s="47">
        <v>193</v>
      </c>
      <c r="F5" s="47">
        <v>137</v>
      </c>
      <c r="G5" s="47">
        <v>138</v>
      </c>
      <c r="H5" s="47">
        <v>79</v>
      </c>
      <c r="I5" s="45">
        <v>99.749999999999858</v>
      </c>
    </row>
    <row r="6" spans="2:9">
      <c r="B6" s="47">
        <v>250</v>
      </c>
      <c r="C6" s="47">
        <v>194</v>
      </c>
      <c r="D6" s="47">
        <v>171</v>
      </c>
      <c r="E6" s="47">
        <v>195</v>
      </c>
      <c r="F6" s="47">
        <v>138</v>
      </c>
      <c r="G6" s="47">
        <v>138</v>
      </c>
      <c r="H6" s="47">
        <v>79</v>
      </c>
      <c r="I6" s="45">
        <v>99.699999999999861</v>
      </c>
    </row>
    <row r="7" spans="2:9">
      <c r="B7" s="47">
        <v>251</v>
      </c>
      <c r="C7" s="47">
        <v>195</v>
      </c>
      <c r="D7" s="47">
        <v>171</v>
      </c>
      <c r="E7" s="47">
        <v>196</v>
      </c>
      <c r="F7" s="47">
        <v>139</v>
      </c>
      <c r="G7" s="47">
        <v>138</v>
      </c>
      <c r="H7" s="47">
        <v>81</v>
      </c>
      <c r="I7" s="45">
        <v>99.649999999999864</v>
      </c>
    </row>
    <row r="8" spans="2:9">
      <c r="B8" s="47">
        <v>252</v>
      </c>
      <c r="C8" s="47">
        <v>197</v>
      </c>
      <c r="D8" s="47">
        <v>172</v>
      </c>
      <c r="E8" s="47">
        <v>197</v>
      </c>
      <c r="F8" s="47">
        <v>141</v>
      </c>
      <c r="G8" s="47">
        <v>139</v>
      </c>
      <c r="H8" s="47">
        <v>82</v>
      </c>
      <c r="I8" s="45">
        <v>99.599999999999866</v>
      </c>
    </row>
    <row r="9" spans="2:9">
      <c r="B9" s="47">
        <v>253</v>
      </c>
      <c r="C9" s="47">
        <v>199</v>
      </c>
      <c r="D9" s="47">
        <v>172</v>
      </c>
      <c r="E9" s="47">
        <v>198</v>
      </c>
      <c r="F9" s="47">
        <v>142</v>
      </c>
      <c r="G9" s="47">
        <v>139</v>
      </c>
      <c r="H9" s="47">
        <v>82</v>
      </c>
      <c r="I9" s="45">
        <v>99.549999999999869</v>
      </c>
    </row>
    <row r="10" spans="2:9">
      <c r="B10" s="47">
        <v>254</v>
      </c>
      <c r="C10" s="47">
        <v>203</v>
      </c>
      <c r="D10" s="47">
        <v>174</v>
      </c>
      <c r="E10" s="47">
        <v>198</v>
      </c>
      <c r="F10" s="47">
        <v>146</v>
      </c>
      <c r="G10" s="47">
        <v>139</v>
      </c>
      <c r="H10" s="47">
        <v>83</v>
      </c>
      <c r="I10" s="45">
        <v>99.499999999999872</v>
      </c>
    </row>
    <row r="11" spans="2:9">
      <c r="B11" s="47">
        <v>255</v>
      </c>
      <c r="C11" s="47">
        <v>205</v>
      </c>
      <c r="D11" s="47">
        <v>177</v>
      </c>
      <c r="E11" s="47">
        <v>199</v>
      </c>
      <c r="F11" s="47">
        <v>147</v>
      </c>
      <c r="G11" s="47">
        <v>140</v>
      </c>
      <c r="H11" s="47">
        <v>84</v>
      </c>
      <c r="I11" s="45">
        <v>99.449999999999875</v>
      </c>
    </row>
    <row r="12" spans="2:9">
      <c r="B12" s="47">
        <v>256</v>
      </c>
      <c r="C12" s="47">
        <v>206</v>
      </c>
      <c r="D12" s="47">
        <v>177</v>
      </c>
      <c r="E12" s="47">
        <v>200</v>
      </c>
      <c r="F12" s="47">
        <v>148</v>
      </c>
      <c r="G12" s="47">
        <v>140</v>
      </c>
      <c r="H12" s="47">
        <v>84</v>
      </c>
      <c r="I12" s="45">
        <v>99.399999999999878</v>
      </c>
    </row>
    <row r="13" spans="2:9">
      <c r="B13" s="47">
        <v>257</v>
      </c>
      <c r="C13" s="47">
        <v>208</v>
      </c>
      <c r="D13" s="47">
        <v>178</v>
      </c>
      <c r="E13" s="47">
        <v>201</v>
      </c>
      <c r="F13" s="47">
        <v>148</v>
      </c>
      <c r="G13" s="47">
        <v>140</v>
      </c>
      <c r="H13" s="47">
        <v>85</v>
      </c>
      <c r="I13" s="45">
        <v>99.349999999999881</v>
      </c>
    </row>
    <row r="14" spans="2:9">
      <c r="B14" s="47">
        <v>258</v>
      </c>
      <c r="C14" s="47">
        <v>209</v>
      </c>
      <c r="D14" s="47">
        <v>178</v>
      </c>
      <c r="E14" s="47">
        <v>201</v>
      </c>
      <c r="F14" s="47">
        <v>148</v>
      </c>
      <c r="G14" s="47">
        <v>140</v>
      </c>
      <c r="H14" s="47">
        <v>85</v>
      </c>
      <c r="I14" s="45">
        <v>99.299999999999883</v>
      </c>
    </row>
    <row r="15" spans="2:9">
      <c r="B15" s="47">
        <v>259</v>
      </c>
      <c r="C15" s="47">
        <v>211</v>
      </c>
      <c r="D15" s="47">
        <v>178</v>
      </c>
      <c r="E15" s="47">
        <v>202</v>
      </c>
      <c r="F15" s="47">
        <v>148</v>
      </c>
      <c r="G15" s="47">
        <v>140</v>
      </c>
      <c r="H15" s="47">
        <v>85</v>
      </c>
      <c r="I15" s="45">
        <v>99.249999999999886</v>
      </c>
    </row>
    <row r="16" spans="2:9">
      <c r="B16" s="47">
        <v>260</v>
      </c>
      <c r="C16" s="47">
        <v>211</v>
      </c>
      <c r="D16" s="47">
        <v>178</v>
      </c>
      <c r="E16" s="47">
        <v>203</v>
      </c>
      <c r="F16" s="47">
        <v>148</v>
      </c>
      <c r="G16" s="47">
        <v>140</v>
      </c>
      <c r="H16" s="47">
        <v>85</v>
      </c>
      <c r="I16" s="45">
        <v>99.199999999999889</v>
      </c>
    </row>
    <row r="17" spans="2:9">
      <c r="B17" s="47">
        <v>261</v>
      </c>
      <c r="C17" s="47">
        <v>213</v>
      </c>
      <c r="D17" s="47">
        <v>178</v>
      </c>
      <c r="E17" s="47">
        <v>203</v>
      </c>
      <c r="F17" s="47">
        <v>149</v>
      </c>
      <c r="G17" s="47">
        <v>141</v>
      </c>
      <c r="H17" s="47">
        <v>85</v>
      </c>
      <c r="I17" s="45">
        <v>99.149999999999892</v>
      </c>
    </row>
    <row r="18" spans="2:9">
      <c r="B18" s="47">
        <v>262</v>
      </c>
      <c r="C18" s="47">
        <v>214</v>
      </c>
      <c r="D18" s="47">
        <v>178</v>
      </c>
      <c r="E18" s="47">
        <v>203</v>
      </c>
      <c r="F18" s="47">
        <v>149</v>
      </c>
      <c r="G18" s="47">
        <v>141</v>
      </c>
      <c r="H18" s="47">
        <v>85</v>
      </c>
      <c r="I18" s="45">
        <v>99.099999999999895</v>
      </c>
    </row>
    <row r="19" spans="2:9">
      <c r="B19" s="47">
        <v>263</v>
      </c>
      <c r="C19" s="47">
        <v>215</v>
      </c>
      <c r="D19" s="47">
        <v>178</v>
      </c>
      <c r="E19" s="47">
        <v>203</v>
      </c>
      <c r="F19" s="47">
        <v>149</v>
      </c>
      <c r="G19" s="47">
        <v>141</v>
      </c>
      <c r="H19" s="47">
        <v>85</v>
      </c>
      <c r="I19" s="45">
        <v>99.049999999999898</v>
      </c>
    </row>
    <row r="20" spans="2:9">
      <c r="B20" s="47">
        <v>264</v>
      </c>
      <c r="C20" s="47">
        <v>216</v>
      </c>
      <c r="D20" s="47">
        <v>179</v>
      </c>
      <c r="E20" s="47">
        <v>203</v>
      </c>
      <c r="F20" s="47">
        <v>149</v>
      </c>
      <c r="G20" s="47">
        <v>141</v>
      </c>
      <c r="H20" s="47">
        <v>85</v>
      </c>
      <c r="I20" s="45">
        <v>98.999999999999901</v>
      </c>
    </row>
    <row r="21" spans="2:9">
      <c r="B21" s="47">
        <v>265</v>
      </c>
      <c r="C21" s="47">
        <v>216</v>
      </c>
      <c r="D21" s="47">
        <v>180</v>
      </c>
      <c r="E21" s="47">
        <v>204</v>
      </c>
      <c r="F21" s="47">
        <v>150</v>
      </c>
      <c r="G21" s="47">
        <v>141</v>
      </c>
      <c r="H21" s="47">
        <v>86</v>
      </c>
      <c r="I21" s="45">
        <v>98.949999999999903</v>
      </c>
    </row>
    <row r="22" spans="2:9">
      <c r="B22" s="47">
        <v>266</v>
      </c>
      <c r="C22" s="47">
        <v>216</v>
      </c>
      <c r="D22" s="47">
        <v>181</v>
      </c>
      <c r="E22" s="47">
        <v>205</v>
      </c>
      <c r="F22" s="47">
        <v>151</v>
      </c>
      <c r="G22" s="47">
        <v>141</v>
      </c>
      <c r="H22" s="47">
        <v>87</v>
      </c>
      <c r="I22" s="45">
        <v>98.899999999999906</v>
      </c>
    </row>
    <row r="23" spans="2:9">
      <c r="B23" s="47">
        <v>267</v>
      </c>
      <c r="C23" s="47">
        <v>218</v>
      </c>
      <c r="D23" s="47">
        <v>181</v>
      </c>
      <c r="E23" s="47">
        <v>205</v>
      </c>
      <c r="F23" s="47">
        <v>153</v>
      </c>
      <c r="G23" s="47">
        <v>141</v>
      </c>
      <c r="H23" s="47">
        <v>87</v>
      </c>
      <c r="I23" s="45">
        <v>98.849999999999909</v>
      </c>
    </row>
    <row r="24" spans="2:9">
      <c r="B24" s="47">
        <v>268</v>
      </c>
      <c r="C24" s="47">
        <v>220</v>
      </c>
      <c r="D24" s="47">
        <v>181</v>
      </c>
      <c r="E24" s="47">
        <v>205</v>
      </c>
      <c r="F24" s="47">
        <v>154</v>
      </c>
      <c r="G24" s="47">
        <v>141</v>
      </c>
      <c r="H24" s="47">
        <v>87</v>
      </c>
      <c r="I24" s="45">
        <v>98.799999999999912</v>
      </c>
    </row>
    <row r="25" spans="2:9">
      <c r="B25" s="47">
        <v>269</v>
      </c>
      <c r="C25" s="47">
        <v>223</v>
      </c>
      <c r="D25" s="47">
        <v>181</v>
      </c>
      <c r="E25" s="47">
        <v>206</v>
      </c>
      <c r="F25" s="47">
        <v>154</v>
      </c>
      <c r="G25" s="47">
        <v>142</v>
      </c>
      <c r="H25" s="47">
        <v>88</v>
      </c>
      <c r="I25" s="45">
        <v>98.749999999999915</v>
      </c>
    </row>
    <row r="26" spans="2:9">
      <c r="B26" s="47">
        <v>270</v>
      </c>
      <c r="C26" s="47">
        <v>225</v>
      </c>
      <c r="D26" s="47">
        <v>182</v>
      </c>
      <c r="E26" s="47">
        <v>206</v>
      </c>
      <c r="F26" s="47">
        <v>155</v>
      </c>
      <c r="G26" s="47">
        <v>142</v>
      </c>
      <c r="H26" s="47">
        <v>88</v>
      </c>
      <c r="I26" s="45">
        <v>98.699999999999918</v>
      </c>
    </row>
    <row r="27" spans="2:9">
      <c r="B27" s="47">
        <v>271</v>
      </c>
      <c r="C27" s="47">
        <v>227</v>
      </c>
      <c r="D27" s="47">
        <v>183</v>
      </c>
      <c r="E27" s="47">
        <v>206</v>
      </c>
      <c r="F27" s="47">
        <v>156</v>
      </c>
      <c r="G27" s="47">
        <v>142</v>
      </c>
      <c r="H27" s="47">
        <v>88</v>
      </c>
      <c r="I27" s="45">
        <v>98.64999999999992</v>
      </c>
    </row>
    <row r="28" spans="2:9">
      <c r="B28" s="47">
        <v>272</v>
      </c>
      <c r="C28" s="47">
        <v>229</v>
      </c>
      <c r="D28" s="47">
        <v>184</v>
      </c>
      <c r="E28" s="47">
        <v>206</v>
      </c>
      <c r="F28" s="47">
        <v>157</v>
      </c>
      <c r="G28" s="47">
        <v>142</v>
      </c>
      <c r="H28" s="47">
        <v>88</v>
      </c>
      <c r="I28" s="45">
        <v>98.599999999999923</v>
      </c>
    </row>
    <row r="29" spans="2:9">
      <c r="B29" s="47">
        <v>272</v>
      </c>
      <c r="C29" s="47">
        <v>230</v>
      </c>
      <c r="D29" s="47">
        <v>184</v>
      </c>
      <c r="E29" s="47">
        <v>207</v>
      </c>
      <c r="F29" s="47">
        <v>157</v>
      </c>
      <c r="G29" s="47">
        <v>143</v>
      </c>
      <c r="H29" s="47">
        <v>88</v>
      </c>
      <c r="I29" s="45">
        <v>98.499999999999929</v>
      </c>
    </row>
    <row r="30" spans="2:9">
      <c r="B30" s="47">
        <v>272</v>
      </c>
      <c r="C30" s="47">
        <v>230</v>
      </c>
      <c r="D30" s="47">
        <v>184</v>
      </c>
      <c r="E30" s="47">
        <v>207</v>
      </c>
      <c r="F30" s="47">
        <v>157</v>
      </c>
      <c r="G30" s="47">
        <v>143</v>
      </c>
      <c r="H30" s="47">
        <v>88</v>
      </c>
      <c r="I30" s="45">
        <v>98.399999999999935</v>
      </c>
    </row>
    <row r="31" spans="2:9">
      <c r="B31" s="47">
        <v>274</v>
      </c>
      <c r="C31" s="47">
        <v>231</v>
      </c>
      <c r="D31" s="47">
        <v>185</v>
      </c>
      <c r="E31" s="47">
        <v>207</v>
      </c>
      <c r="F31" s="47">
        <v>157</v>
      </c>
      <c r="G31" s="47">
        <v>143</v>
      </c>
      <c r="H31" s="47">
        <v>89</v>
      </c>
      <c r="I31" s="45">
        <v>98.29999999999994</v>
      </c>
    </row>
    <row r="32" spans="2:9">
      <c r="B32" s="47">
        <v>275</v>
      </c>
      <c r="C32" s="47">
        <v>231</v>
      </c>
      <c r="D32" s="47">
        <v>187</v>
      </c>
      <c r="E32" s="47">
        <v>209</v>
      </c>
      <c r="F32" s="47">
        <v>159</v>
      </c>
      <c r="G32" s="47">
        <v>143</v>
      </c>
      <c r="H32" s="47">
        <v>89</v>
      </c>
      <c r="I32" s="45">
        <v>98.199999999999946</v>
      </c>
    </row>
    <row r="33" spans="2:9">
      <c r="B33" s="47">
        <v>275</v>
      </c>
      <c r="C33" s="47">
        <v>233</v>
      </c>
      <c r="D33" s="47">
        <v>187</v>
      </c>
      <c r="E33" s="49">
        <v>210</v>
      </c>
      <c r="F33" s="47">
        <v>160</v>
      </c>
      <c r="G33" s="47">
        <v>144</v>
      </c>
      <c r="H33" s="47">
        <v>89</v>
      </c>
      <c r="I33" s="45">
        <v>98.099999999999952</v>
      </c>
    </row>
    <row r="34" spans="2:9">
      <c r="B34" s="47">
        <v>279</v>
      </c>
      <c r="C34" s="47">
        <v>235</v>
      </c>
      <c r="D34" s="47">
        <v>187</v>
      </c>
      <c r="E34" s="49">
        <v>210</v>
      </c>
      <c r="F34" s="47">
        <v>160</v>
      </c>
      <c r="G34" s="47">
        <v>144</v>
      </c>
      <c r="H34" s="47">
        <v>89</v>
      </c>
      <c r="I34" s="45">
        <v>97.999999999999957</v>
      </c>
    </row>
    <row r="35" spans="2:9">
      <c r="B35" s="47">
        <v>279</v>
      </c>
      <c r="C35" s="47">
        <v>236</v>
      </c>
      <c r="D35" s="47">
        <v>188</v>
      </c>
      <c r="E35" s="47">
        <v>212</v>
      </c>
      <c r="F35" s="47">
        <v>160</v>
      </c>
      <c r="G35" s="47">
        <v>144</v>
      </c>
      <c r="H35" s="47">
        <v>90</v>
      </c>
      <c r="I35" s="45">
        <v>97.899999999999963</v>
      </c>
    </row>
    <row r="36" spans="2:9">
      <c r="B36" s="47">
        <v>281</v>
      </c>
      <c r="C36" s="47">
        <v>238</v>
      </c>
      <c r="D36" s="47">
        <v>189</v>
      </c>
      <c r="E36" s="47">
        <v>213</v>
      </c>
      <c r="F36" s="47">
        <v>160</v>
      </c>
      <c r="G36" s="47">
        <v>144</v>
      </c>
      <c r="H36" s="47">
        <v>90</v>
      </c>
      <c r="I36" s="45">
        <v>97.799999999999969</v>
      </c>
    </row>
    <row r="37" spans="2:9">
      <c r="B37" s="47">
        <v>281</v>
      </c>
      <c r="C37" s="47">
        <v>240</v>
      </c>
      <c r="D37" s="47">
        <v>196</v>
      </c>
      <c r="E37" s="47">
        <v>213</v>
      </c>
      <c r="F37" s="47">
        <v>160</v>
      </c>
      <c r="G37" s="47">
        <v>144</v>
      </c>
      <c r="H37" s="47">
        <v>91</v>
      </c>
      <c r="I37" s="45">
        <v>97.699999999999974</v>
      </c>
    </row>
    <row r="38" spans="2:9">
      <c r="B38" s="47">
        <v>283</v>
      </c>
      <c r="C38" s="47">
        <v>242</v>
      </c>
      <c r="D38" s="47">
        <v>199</v>
      </c>
      <c r="E38" s="47">
        <v>213</v>
      </c>
      <c r="F38" s="47">
        <v>161</v>
      </c>
      <c r="G38" s="47">
        <v>144</v>
      </c>
      <c r="H38" s="47">
        <v>91</v>
      </c>
      <c r="I38" s="45">
        <v>97.59999999999998</v>
      </c>
    </row>
    <row r="39" spans="2:9">
      <c r="B39" s="47">
        <v>283</v>
      </c>
      <c r="C39" s="47">
        <v>243</v>
      </c>
      <c r="D39" s="47">
        <v>199</v>
      </c>
      <c r="E39" s="47">
        <v>214</v>
      </c>
      <c r="F39" s="47">
        <v>161</v>
      </c>
      <c r="G39" s="47">
        <v>144</v>
      </c>
      <c r="H39" s="47">
        <v>91</v>
      </c>
      <c r="I39" s="45">
        <v>97.399999999999977</v>
      </c>
    </row>
    <row r="40" spans="2:9">
      <c r="B40" s="47">
        <v>284</v>
      </c>
      <c r="C40" s="47">
        <v>244</v>
      </c>
      <c r="D40" s="47">
        <v>201</v>
      </c>
      <c r="E40" s="47">
        <v>214</v>
      </c>
      <c r="F40" s="47">
        <v>165</v>
      </c>
      <c r="G40" s="47">
        <v>145</v>
      </c>
      <c r="H40" s="47">
        <v>92</v>
      </c>
      <c r="I40" s="45">
        <v>97.199999999999974</v>
      </c>
    </row>
    <row r="41" spans="2:9">
      <c r="B41" s="47">
        <v>285</v>
      </c>
      <c r="C41" s="47">
        <v>244</v>
      </c>
      <c r="D41" s="47">
        <v>206</v>
      </c>
      <c r="E41" s="47">
        <v>215</v>
      </c>
      <c r="F41" s="47">
        <v>165</v>
      </c>
      <c r="G41" s="47">
        <v>145</v>
      </c>
      <c r="H41" s="47">
        <v>92</v>
      </c>
      <c r="I41" s="45">
        <v>96.999999999999972</v>
      </c>
    </row>
    <row r="42" spans="2:9">
      <c r="B42" s="47">
        <v>285</v>
      </c>
      <c r="C42" s="47">
        <v>245</v>
      </c>
      <c r="D42" s="47">
        <v>206</v>
      </c>
      <c r="E42" s="47">
        <v>215</v>
      </c>
      <c r="F42" s="47">
        <v>166</v>
      </c>
      <c r="G42" s="47">
        <v>145</v>
      </c>
      <c r="H42" s="47">
        <v>92</v>
      </c>
      <c r="I42" s="45">
        <v>96.799999999999969</v>
      </c>
    </row>
    <row r="43" spans="2:9">
      <c r="B43" s="47">
        <v>287</v>
      </c>
      <c r="C43" s="47">
        <v>246</v>
      </c>
      <c r="D43" s="47">
        <v>208</v>
      </c>
      <c r="E43" s="47">
        <v>216</v>
      </c>
      <c r="F43" s="47">
        <v>166</v>
      </c>
      <c r="G43" s="47">
        <v>145</v>
      </c>
      <c r="H43" s="47">
        <v>92</v>
      </c>
      <c r="I43" s="45">
        <v>96.599999999999966</v>
      </c>
    </row>
    <row r="44" spans="2:9">
      <c r="B44" s="47">
        <v>288</v>
      </c>
      <c r="C44" s="47">
        <v>247</v>
      </c>
      <c r="D44" s="47">
        <v>209</v>
      </c>
      <c r="E44" s="47">
        <v>216</v>
      </c>
      <c r="F44" s="47">
        <v>166</v>
      </c>
      <c r="G44" s="47">
        <v>145</v>
      </c>
      <c r="H44" s="47">
        <v>92</v>
      </c>
      <c r="I44" s="45">
        <v>96.399999999999963</v>
      </c>
    </row>
    <row r="45" spans="2:9">
      <c r="B45" s="47">
        <v>289</v>
      </c>
      <c r="C45" s="47">
        <v>247</v>
      </c>
      <c r="D45" s="47">
        <v>209</v>
      </c>
      <c r="E45" s="47">
        <v>216</v>
      </c>
      <c r="F45" s="47">
        <v>168</v>
      </c>
      <c r="G45" s="47">
        <v>146</v>
      </c>
      <c r="H45" s="47">
        <v>93</v>
      </c>
      <c r="I45" s="45">
        <v>96.19999999999996</v>
      </c>
    </row>
    <row r="46" spans="2:9">
      <c r="B46" s="47">
        <v>290</v>
      </c>
      <c r="C46" s="47">
        <v>248</v>
      </c>
      <c r="D46" s="47">
        <v>209</v>
      </c>
      <c r="E46" s="47">
        <v>217</v>
      </c>
      <c r="F46" s="47">
        <v>168</v>
      </c>
      <c r="G46" s="47">
        <v>146</v>
      </c>
      <c r="H46" s="47">
        <v>93</v>
      </c>
      <c r="I46" s="45">
        <v>95.999999999999957</v>
      </c>
    </row>
    <row r="47" spans="2:9">
      <c r="B47" s="47">
        <v>291</v>
      </c>
      <c r="C47" s="47">
        <v>249</v>
      </c>
      <c r="D47" s="47">
        <v>211</v>
      </c>
      <c r="E47" s="47">
        <v>217</v>
      </c>
      <c r="F47" s="47">
        <v>168</v>
      </c>
      <c r="G47" s="47">
        <v>146</v>
      </c>
      <c r="H47" s="47">
        <v>93</v>
      </c>
      <c r="I47" s="45">
        <v>95.69999999999996</v>
      </c>
    </row>
    <row r="48" spans="2:9">
      <c r="B48" s="47">
        <v>291</v>
      </c>
      <c r="C48" s="47">
        <v>249</v>
      </c>
      <c r="D48" s="47">
        <v>213</v>
      </c>
      <c r="E48" s="47">
        <v>218</v>
      </c>
      <c r="F48" s="47">
        <v>169</v>
      </c>
      <c r="G48" s="47">
        <v>146</v>
      </c>
      <c r="H48" s="47">
        <v>94</v>
      </c>
      <c r="I48" s="45">
        <v>95.399999999999963</v>
      </c>
    </row>
    <row r="49" spans="2:9">
      <c r="B49" s="47">
        <v>293</v>
      </c>
      <c r="C49" s="47">
        <v>249</v>
      </c>
      <c r="D49" s="47">
        <v>213</v>
      </c>
      <c r="E49" s="47">
        <v>218</v>
      </c>
      <c r="F49" s="47">
        <v>169</v>
      </c>
      <c r="G49" s="47">
        <v>147</v>
      </c>
      <c r="H49" s="47">
        <v>94</v>
      </c>
      <c r="I49" s="45">
        <v>95.099999999999966</v>
      </c>
    </row>
    <row r="50" spans="2:9">
      <c r="B50" s="47">
        <v>294</v>
      </c>
      <c r="C50" s="47">
        <v>249</v>
      </c>
      <c r="D50" s="47">
        <v>213</v>
      </c>
      <c r="E50" s="47">
        <v>218</v>
      </c>
      <c r="F50" s="47">
        <v>170</v>
      </c>
      <c r="G50" s="47">
        <v>147</v>
      </c>
      <c r="H50" s="47">
        <v>94</v>
      </c>
      <c r="I50" s="45">
        <v>94.799999999999969</v>
      </c>
    </row>
    <row r="51" spans="2:9">
      <c r="B51" s="47">
        <v>295</v>
      </c>
      <c r="C51" s="47">
        <v>252</v>
      </c>
      <c r="D51" s="47">
        <v>214</v>
      </c>
      <c r="E51" s="47">
        <v>220</v>
      </c>
      <c r="F51" s="47">
        <v>172</v>
      </c>
      <c r="G51" s="47">
        <v>147</v>
      </c>
      <c r="H51" s="47">
        <v>95</v>
      </c>
      <c r="I51" s="45">
        <v>94.499999999999972</v>
      </c>
    </row>
    <row r="52" spans="2:9">
      <c r="B52" s="47">
        <v>295</v>
      </c>
      <c r="C52" s="47">
        <v>252</v>
      </c>
      <c r="D52" s="47">
        <v>215</v>
      </c>
      <c r="E52" s="47">
        <v>221</v>
      </c>
      <c r="F52" s="47">
        <v>172</v>
      </c>
      <c r="G52" s="47">
        <v>147</v>
      </c>
      <c r="H52" s="47">
        <v>96</v>
      </c>
      <c r="I52" s="45">
        <v>94.199999999999974</v>
      </c>
    </row>
    <row r="53" spans="2:9">
      <c r="B53" s="47">
        <v>296</v>
      </c>
      <c r="C53" s="47">
        <v>252</v>
      </c>
      <c r="D53" s="47">
        <v>215</v>
      </c>
      <c r="E53" s="47">
        <v>221</v>
      </c>
      <c r="F53" s="47">
        <v>173</v>
      </c>
      <c r="G53" s="47">
        <v>147</v>
      </c>
      <c r="H53" s="47">
        <v>96</v>
      </c>
      <c r="I53" s="45">
        <v>93.899999999999977</v>
      </c>
    </row>
    <row r="54" spans="2:9">
      <c r="B54" s="47">
        <v>298</v>
      </c>
      <c r="C54" s="47">
        <v>252</v>
      </c>
      <c r="D54" s="47">
        <v>216</v>
      </c>
      <c r="E54" s="47">
        <v>221</v>
      </c>
      <c r="F54" s="47">
        <v>174</v>
      </c>
      <c r="G54" s="47">
        <v>148</v>
      </c>
      <c r="H54" s="47">
        <v>96</v>
      </c>
      <c r="I54" s="45">
        <v>93.59999999999998</v>
      </c>
    </row>
    <row r="55" spans="2:9">
      <c r="B55" s="47">
        <v>299</v>
      </c>
      <c r="C55" s="47">
        <v>253</v>
      </c>
      <c r="D55" s="47">
        <v>216</v>
      </c>
      <c r="E55" s="47">
        <v>221</v>
      </c>
      <c r="F55" s="47">
        <v>174</v>
      </c>
      <c r="G55" s="47">
        <v>148</v>
      </c>
      <c r="H55" s="47">
        <v>96</v>
      </c>
      <c r="I55" s="45">
        <v>93.299999999999983</v>
      </c>
    </row>
    <row r="56" spans="2:9">
      <c r="B56" s="47">
        <v>300</v>
      </c>
      <c r="C56" s="47">
        <v>253</v>
      </c>
      <c r="D56" s="47">
        <v>216</v>
      </c>
      <c r="E56" s="47">
        <v>223</v>
      </c>
      <c r="F56" s="47">
        <v>176</v>
      </c>
      <c r="G56" s="49">
        <v>148</v>
      </c>
      <c r="H56" s="47">
        <v>97</v>
      </c>
      <c r="I56" s="45">
        <v>92.999999999999986</v>
      </c>
    </row>
    <row r="57" spans="2:9">
      <c r="B57" s="47">
        <v>301</v>
      </c>
      <c r="C57" s="47">
        <v>255</v>
      </c>
      <c r="D57" s="47">
        <v>217</v>
      </c>
      <c r="E57" s="47">
        <v>224</v>
      </c>
      <c r="F57" s="47">
        <v>177</v>
      </c>
      <c r="G57" s="47">
        <v>149</v>
      </c>
      <c r="H57" s="47">
        <v>98</v>
      </c>
      <c r="I57" s="45">
        <v>92.699999999999989</v>
      </c>
    </row>
    <row r="58" spans="2:9">
      <c r="B58" s="47">
        <v>302</v>
      </c>
      <c r="C58" s="47">
        <v>259</v>
      </c>
      <c r="D58" s="47">
        <v>219</v>
      </c>
      <c r="E58" s="47">
        <v>225</v>
      </c>
      <c r="F58" s="47">
        <v>178</v>
      </c>
      <c r="G58" s="47">
        <v>149</v>
      </c>
      <c r="H58" s="47">
        <v>98</v>
      </c>
      <c r="I58" s="45">
        <v>92.399999999999991</v>
      </c>
    </row>
    <row r="59" spans="2:9">
      <c r="B59" s="47">
        <v>303</v>
      </c>
      <c r="C59" s="47">
        <v>261</v>
      </c>
      <c r="D59" s="47">
        <v>219</v>
      </c>
      <c r="E59" s="47">
        <v>226</v>
      </c>
      <c r="F59" s="47">
        <v>181</v>
      </c>
      <c r="G59" s="47">
        <v>149</v>
      </c>
      <c r="H59" s="47">
        <v>100</v>
      </c>
      <c r="I59" s="45">
        <v>92.1</v>
      </c>
    </row>
    <row r="60" spans="2:9">
      <c r="B60" s="47">
        <v>304</v>
      </c>
      <c r="C60" s="47">
        <v>262</v>
      </c>
      <c r="D60" s="47">
        <v>219</v>
      </c>
      <c r="E60" s="47">
        <v>226</v>
      </c>
      <c r="F60" s="47">
        <v>181</v>
      </c>
      <c r="G60" s="49">
        <v>149</v>
      </c>
      <c r="H60" s="47">
        <v>100</v>
      </c>
      <c r="I60" s="45">
        <v>91.8</v>
      </c>
    </row>
    <row r="61" spans="2:9">
      <c r="B61" s="47">
        <v>305</v>
      </c>
      <c r="C61" s="47">
        <v>265</v>
      </c>
      <c r="D61" s="47">
        <v>221</v>
      </c>
      <c r="E61" s="47">
        <v>227</v>
      </c>
      <c r="F61" s="47">
        <v>183</v>
      </c>
      <c r="G61" s="49">
        <v>150</v>
      </c>
      <c r="H61" s="47">
        <v>100</v>
      </c>
      <c r="I61" s="45">
        <v>91.5</v>
      </c>
    </row>
    <row r="62" spans="2:9">
      <c r="B62" s="47">
        <v>306</v>
      </c>
      <c r="C62" s="47">
        <v>266</v>
      </c>
      <c r="D62" s="47">
        <v>222</v>
      </c>
      <c r="E62" s="47">
        <v>227</v>
      </c>
      <c r="F62" s="47">
        <v>184</v>
      </c>
      <c r="G62" s="47">
        <v>150</v>
      </c>
      <c r="H62" s="47">
        <v>101</v>
      </c>
      <c r="I62" s="45">
        <v>91.3</v>
      </c>
    </row>
    <row r="63" spans="2:9">
      <c r="B63" s="47">
        <v>307</v>
      </c>
      <c r="C63" s="47">
        <v>268</v>
      </c>
      <c r="D63" s="47">
        <v>223</v>
      </c>
      <c r="E63" s="47">
        <v>228</v>
      </c>
      <c r="F63" s="47">
        <v>185</v>
      </c>
      <c r="G63" s="47">
        <v>151</v>
      </c>
      <c r="H63" s="47">
        <v>102</v>
      </c>
      <c r="I63" s="45">
        <v>91</v>
      </c>
    </row>
    <row r="64" spans="2:9">
      <c r="B64" s="47">
        <v>308</v>
      </c>
      <c r="C64" s="47">
        <v>269</v>
      </c>
      <c r="D64" s="47">
        <v>223</v>
      </c>
      <c r="E64" s="47">
        <v>229</v>
      </c>
      <c r="F64" s="47">
        <v>186</v>
      </c>
      <c r="G64" s="47">
        <v>151</v>
      </c>
      <c r="H64" s="47">
        <v>103</v>
      </c>
      <c r="I64" s="45">
        <v>90.7</v>
      </c>
    </row>
    <row r="65" spans="2:9">
      <c r="B65" s="47">
        <v>309</v>
      </c>
      <c r="C65" s="47">
        <v>272</v>
      </c>
      <c r="D65" s="47">
        <v>226</v>
      </c>
      <c r="E65" s="47">
        <v>231</v>
      </c>
      <c r="F65" s="47">
        <v>186</v>
      </c>
      <c r="G65" s="47">
        <v>151</v>
      </c>
      <c r="H65" s="47">
        <v>103</v>
      </c>
      <c r="I65" s="45">
        <v>90.4</v>
      </c>
    </row>
    <row r="66" spans="2:9">
      <c r="B66" s="47">
        <v>310</v>
      </c>
      <c r="C66" s="47">
        <v>272</v>
      </c>
      <c r="D66" s="47">
        <v>226</v>
      </c>
      <c r="E66" s="47">
        <v>231</v>
      </c>
      <c r="F66" s="47">
        <v>187</v>
      </c>
      <c r="G66" s="47">
        <v>152</v>
      </c>
      <c r="H66" s="47">
        <v>103</v>
      </c>
      <c r="I66" s="45">
        <v>90.2</v>
      </c>
    </row>
    <row r="67" spans="2:9">
      <c r="B67" s="47">
        <v>311</v>
      </c>
      <c r="C67" s="47">
        <v>273</v>
      </c>
      <c r="D67" s="47">
        <v>226</v>
      </c>
      <c r="E67" s="47">
        <v>231</v>
      </c>
      <c r="F67" s="47">
        <v>188</v>
      </c>
      <c r="G67" s="47">
        <v>152</v>
      </c>
      <c r="H67" s="47">
        <v>104</v>
      </c>
      <c r="I67" s="45">
        <v>89.9</v>
      </c>
    </row>
    <row r="68" spans="2:9">
      <c r="B68" s="47">
        <v>312</v>
      </c>
      <c r="C68" s="47">
        <v>274</v>
      </c>
      <c r="D68" s="47">
        <v>228</v>
      </c>
      <c r="E68" s="47">
        <v>232</v>
      </c>
      <c r="F68" s="47">
        <v>189</v>
      </c>
      <c r="G68" s="47">
        <v>152</v>
      </c>
      <c r="H68" s="47">
        <v>104</v>
      </c>
      <c r="I68" s="45">
        <v>89.6</v>
      </c>
    </row>
    <row r="69" spans="2:9">
      <c r="B69" s="47">
        <v>313</v>
      </c>
      <c r="C69" s="47">
        <v>275</v>
      </c>
      <c r="D69" s="47">
        <v>229</v>
      </c>
      <c r="E69" s="47">
        <v>233</v>
      </c>
      <c r="F69" s="47">
        <v>189</v>
      </c>
      <c r="G69" s="49">
        <v>152</v>
      </c>
      <c r="H69" s="47">
        <v>105</v>
      </c>
      <c r="I69" s="45">
        <v>89.3</v>
      </c>
    </row>
    <row r="70" spans="2:9">
      <c r="B70" s="47">
        <v>314</v>
      </c>
      <c r="C70" s="47">
        <v>276</v>
      </c>
      <c r="D70" s="47">
        <v>230</v>
      </c>
      <c r="E70" s="47">
        <v>233</v>
      </c>
      <c r="F70" s="47">
        <v>191</v>
      </c>
      <c r="G70" s="49">
        <v>153</v>
      </c>
      <c r="H70" s="47">
        <v>105</v>
      </c>
      <c r="I70" s="45">
        <v>89.1</v>
      </c>
    </row>
    <row r="71" spans="2:9">
      <c r="B71" s="47">
        <v>315</v>
      </c>
      <c r="C71" s="47">
        <v>277</v>
      </c>
      <c r="D71" s="47">
        <v>232</v>
      </c>
      <c r="E71" s="47">
        <v>233</v>
      </c>
      <c r="F71" s="47">
        <v>193</v>
      </c>
      <c r="G71" s="49">
        <v>153</v>
      </c>
      <c r="H71" s="47">
        <v>106</v>
      </c>
      <c r="I71" s="45">
        <v>88.9</v>
      </c>
    </row>
    <row r="72" spans="2:9">
      <c r="B72" s="47">
        <v>316</v>
      </c>
      <c r="C72" s="47">
        <v>278</v>
      </c>
      <c r="D72" s="47">
        <v>233</v>
      </c>
      <c r="E72" s="47">
        <v>235</v>
      </c>
      <c r="F72" s="47">
        <v>194</v>
      </c>
      <c r="G72" s="49">
        <v>154</v>
      </c>
      <c r="H72" s="47">
        <v>107</v>
      </c>
      <c r="I72" s="45">
        <v>88.6</v>
      </c>
    </row>
    <row r="73" spans="2:9">
      <c r="B73" s="47">
        <v>317</v>
      </c>
      <c r="C73" s="47">
        <v>279</v>
      </c>
      <c r="D73" s="47">
        <v>234</v>
      </c>
      <c r="E73" s="47">
        <v>235</v>
      </c>
      <c r="F73" s="47">
        <v>195</v>
      </c>
      <c r="G73" s="47">
        <v>154</v>
      </c>
      <c r="H73" s="47">
        <v>108</v>
      </c>
      <c r="I73" s="45">
        <v>88.4</v>
      </c>
    </row>
    <row r="74" spans="2:9">
      <c r="B74" s="47">
        <v>318</v>
      </c>
      <c r="C74" s="47">
        <v>279</v>
      </c>
      <c r="D74" s="47">
        <v>234</v>
      </c>
      <c r="E74" s="47">
        <v>236</v>
      </c>
      <c r="F74" s="47">
        <v>196</v>
      </c>
      <c r="G74" s="47">
        <v>155</v>
      </c>
      <c r="H74" s="47">
        <v>108</v>
      </c>
      <c r="I74" s="45">
        <v>88.2</v>
      </c>
    </row>
    <row r="75" spans="2:9">
      <c r="B75" s="47">
        <v>319</v>
      </c>
      <c r="C75" s="47">
        <v>280</v>
      </c>
      <c r="D75" s="47">
        <v>234</v>
      </c>
      <c r="E75" s="47">
        <v>236</v>
      </c>
      <c r="F75" s="47">
        <v>196</v>
      </c>
      <c r="G75" s="47">
        <v>155</v>
      </c>
      <c r="H75" s="47">
        <v>108</v>
      </c>
      <c r="I75" s="45">
        <v>88</v>
      </c>
    </row>
    <row r="76" spans="2:9">
      <c r="B76" s="47">
        <v>320</v>
      </c>
      <c r="C76" s="47">
        <v>281</v>
      </c>
      <c r="D76" s="47">
        <v>236</v>
      </c>
      <c r="E76" s="47">
        <v>237</v>
      </c>
      <c r="F76" s="47">
        <v>197</v>
      </c>
      <c r="G76" s="47">
        <v>155</v>
      </c>
      <c r="H76" s="47">
        <v>109</v>
      </c>
      <c r="I76" s="45">
        <v>87.7</v>
      </c>
    </row>
    <row r="77" spans="2:9">
      <c r="B77" s="47">
        <v>321</v>
      </c>
      <c r="C77" s="47">
        <v>283</v>
      </c>
      <c r="D77" s="47">
        <v>237</v>
      </c>
      <c r="E77" s="49">
        <v>238</v>
      </c>
      <c r="F77" s="47">
        <v>199</v>
      </c>
      <c r="G77" s="47">
        <v>156</v>
      </c>
      <c r="H77" s="47">
        <v>111</v>
      </c>
      <c r="I77" s="45">
        <v>87.4</v>
      </c>
    </row>
    <row r="78" spans="2:9">
      <c r="B78" s="47">
        <v>322</v>
      </c>
      <c r="C78" s="47">
        <v>286</v>
      </c>
      <c r="D78" s="47">
        <v>238</v>
      </c>
      <c r="E78" s="47">
        <v>239</v>
      </c>
      <c r="F78" s="47">
        <v>200</v>
      </c>
      <c r="G78" s="47">
        <v>157</v>
      </c>
      <c r="H78" s="47">
        <v>112</v>
      </c>
      <c r="I78" s="45">
        <v>87.2</v>
      </c>
    </row>
    <row r="79" spans="2:9">
      <c r="B79" s="47">
        <v>323</v>
      </c>
      <c r="C79" s="47">
        <v>287</v>
      </c>
      <c r="D79" s="47">
        <v>240</v>
      </c>
      <c r="E79" s="47">
        <v>240</v>
      </c>
      <c r="F79" s="47">
        <v>200</v>
      </c>
      <c r="G79" s="47">
        <v>157</v>
      </c>
      <c r="H79" s="47">
        <v>113</v>
      </c>
      <c r="I79" s="45">
        <v>87</v>
      </c>
    </row>
    <row r="80" spans="2:9">
      <c r="B80" s="47">
        <v>324</v>
      </c>
      <c r="C80" s="47">
        <v>287</v>
      </c>
      <c r="D80" s="47">
        <v>241</v>
      </c>
      <c r="E80" s="47">
        <v>240</v>
      </c>
      <c r="F80" s="47">
        <v>201</v>
      </c>
      <c r="G80" s="47">
        <v>157</v>
      </c>
      <c r="H80" s="47">
        <v>113</v>
      </c>
      <c r="I80" s="45">
        <v>86.7</v>
      </c>
    </row>
    <row r="81" spans="2:9">
      <c r="B81" s="47">
        <v>325</v>
      </c>
      <c r="C81" s="47">
        <v>289</v>
      </c>
      <c r="D81" s="47">
        <v>242</v>
      </c>
      <c r="E81" s="47">
        <v>241</v>
      </c>
      <c r="F81" s="47">
        <v>203</v>
      </c>
      <c r="G81" s="47">
        <v>158</v>
      </c>
      <c r="H81" s="47">
        <v>114</v>
      </c>
      <c r="I81" s="45">
        <v>86.4</v>
      </c>
    </row>
    <row r="82" spans="2:9">
      <c r="B82" s="47">
        <v>326</v>
      </c>
      <c r="C82" s="47">
        <v>290</v>
      </c>
      <c r="D82" s="47">
        <v>243</v>
      </c>
      <c r="E82" s="47">
        <v>241</v>
      </c>
      <c r="F82" s="47">
        <v>204</v>
      </c>
      <c r="G82" s="47">
        <v>158</v>
      </c>
      <c r="H82" s="47">
        <v>114</v>
      </c>
      <c r="I82" s="45">
        <v>86.2</v>
      </c>
    </row>
    <row r="83" spans="2:9">
      <c r="B83" s="47">
        <v>327</v>
      </c>
      <c r="C83" s="47">
        <v>290</v>
      </c>
      <c r="D83" s="47">
        <v>243</v>
      </c>
      <c r="E83" s="47">
        <v>242</v>
      </c>
      <c r="F83" s="47">
        <v>204</v>
      </c>
      <c r="G83" s="47">
        <v>158</v>
      </c>
      <c r="H83" s="47">
        <v>114</v>
      </c>
      <c r="I83" s="45">
        <v>85.9</v>
      </c>
    </row>
    <row r="84" spans="2:9">
      <c r="B84" s="47">
        <v>328</v>
      </c>
      <c r="C84" s="47">
        <v>290</v>
      </c>
      <c r="D84" s="47">
        <v>243</v>
      </c>
      <c r="E84" s="47">
        <v>242</v>
      </c>
      <c r="F84" s="47">
        <v>204</v>
      </c>
      <c r="G84" s="47">
        <v>159</v>
      </c>
      <c r="H84" s="47">
        <v>114</v>
      </c>
      <c r="I84" s="45">
        <v>85.7</v>
      </c>
    </row>
    <row r="85" spans="2:9">
      <c r="B85" s="47">
        <v>329</v>
      </c>
      <c r="C85" s="47">
        <v>291</v>
      </c>
      <c r="D85" s="47">
        <v>243</v>
      </c>
      <c r="E85" s="47">
        <v>243</v>
      </c>
      <c r="F85" s="47">
        <v>204</v>
      </c>
      <c r="G85" s="49">
        <v>159</v>
      </c>
      <c r="H85" s="47">
        <v>114</v>
      </c>
      <c r="I85" s="45">
        <v>85.4</v>
      </c>
    </row>
    <row r="86" spans="2:9">
      <c r="B86" s="47">
        <v>330</v>
      </c>
      <c r="C86" s="47">
        <v>292</v>
      </c>
      <c r="D86" s="47">
        <v>244</v>
      </c>
      <c r="E86" s="47">
        <v>243</v>
      </c>
      <c r="F86" s="47">
        <v>206</v>
      </c>
      <c r="G86" s="47">
        <v>160</v>
      </c>
      <c r="H86" s="47">
        <v>116</v>
      </c>
      <c r="I86" s="45">
        <v>85.1</v>
      </c>
    </row>
    <row r="87" spans="2:9">
      <c r="B87" s="47">
        <v>331</v>
      </c>
      <c r="C87" s="47">
        <v>293</v>
      </c>
      <c r="D87" s="47">
        <v>245</v>
      </c>
      <c r="E87" s="47">
        <v>244</v>
      </c>
      <c r="F87" s="47">
        <v>207</v>
      </c>
      <c r="G87" s="47">
        <v>160</v>
      </c>
      <c r="H87" s="47">
        <v>117</v>
      </c>
      <c r="I87" s="45">
        <v>84.8</v>
      </c>
    </row>
    <row r="88" spans="2:9">
      <c r="B88" s="47">
        <v>332</v>
      </c>
      <c r="C88" s="47">
        <v>295</v>
      </c>
      <c r="D88" s="47">
        <v>246</v>
      </c>
      <c r="E88" s="47">
        <v>244</v>
      </c>
      <c r="F88" s="47">
        <v>207</v>
      </c>
      <c r="G88" s="47">
        <v>160</v>
      </c>
      <c r="H88" s="47">
        <v>118</v>
      </c>
      <c r="I88" s="45">
        <v>84.6</v>
      </c>
    </row>
    <row r="89" spans="2:9">
      <c r="B89" s="47">
        <v>333</v>
      </c>
      <c r="C89" s="47">
        <v>296</v>
      </c>
      <c r="D89" s="47">
        <v>247</v>
      </c>
      <c r="E89" s="47">
        <v>245</v>
      </c>
      <c r="F89" s="47">
        <v>208</v>
      </c>
      <c r="G89" s="47">
        <v>161</v>
      </c>
      <c r="H89" s="47">
        <v>119</v>
      </c>
      <c r="I89" s="45">
        <v>84.3</v>
      </c>
    </row>
    <row r="90" spans="2:9">
      <c r="B90" s="47">
        <v>334</v>
      </c>
      <c r="C90" s="47">
        <v>297</v>
      </c>
      <c r="D90" s="47">
        <v>248</v>
      </c>
      <c r="E90" s="47">
        <v>246</v>
      </c>
      <c r="F90" s="47">
        <v>210</v>
      </c>
      <c r="G90" s="47">
        <v>162</v>
      </c>
      <c r="H90" s="47">
        <v>120</v>
      </c>
      <c r="I90" s="45">
        <v>84</v>
      </c>
    </row>
    <row r="91" spans="2:9">
      <c r="B91" s="47">
        <v>335</v>
      </c>
      <c r="C91" s="47">
        <v>299</v>
      </c>
      <c r="D91" s="47">
        <v>249</v>
      </c>
      <c r="E91" s="47">
        <v>246</v>
      </c>
      <c r="F91" s="47">
        <v>211</v>
      </c>
      <c r="G91" s="47">
        <v>162</v>
      </c>
      <c r="H91" s="47">
        <v>120</v>
      </c>
      <c r="I91" s="45">
        <v>83.7</v>
      </c>
    </row>
    <row r="92" spans="2:9">
      <c r="B92" s="47">
        <v>336</v>
      </c>
      <c r="C92" s="47">
        <v>301</v>
      </c>
      <c r="D92" s="47">
        <v>251</v>
      </c>
      <c r="E92" s="47">
        <v>247</v>
      </c>
      <c r="F92" s="47">
        <v>211</v>
      </c>
      <c r="G92" s="47">
        <v>162</v>
      </c>
      <c r="H92" s="47">
        <v>121</v>
      </c>
      <c r="I92" s="45">
        <v>83.5</v>
      </c>
    </row>
    <row r="93" spans="2:9">
      <c r="B93" s="47">
        <v>337</v>
      </c>
      <c r="C93" s="47">
        <v>302</v>
      </c>
      <c r="D93" s="47">
        <v>252</v>
      </c>
      <c r="E93" s="47">
        <v>247</v>
      </c>
      <c r="F93" s="47">
        <v>212</v>
      </c>
      <c r="G93" s="47">
        <v>163</v>
      </c>
      <c r="H93" s="47">
        <v>122</v>
      </c>
      <c r="I93" s="45">
        <v>83.2</v>
      </c>
    </row>
    <row r="94" spans="2:9">
      <c r="B94" s="47">
        <v>338</v>
      </c>
      <c r="C94" s="47">
        <v>303</v>
      </c>
      <c r="D94" s="47">
        <v>253</v>
      </c>
      <c r="E94" s="47">
        <v>248</v>
      </c>
      <c r="F94" s="47">
        <v>213</v>
      </c>
      <c r="G94" s="47">
        <v>163</v>
      </c>
      <c r="H94" s="47">
        <v>122</v>
      </c>
      <c r="I94" s="45">
        <v>82.9</v>
      </c>
    </row>
    <row r="95" spans="2:9">
      <c r="B95" s="47">
        <v>339</v>
      </c>
      <c r="C95" s="47">
        <v>305</v>
      </c>
      <c r="D95" s="47">
        <v>253</v>
      </c>
      <c r="E95" s="47">
        <v>249</v>
      </c>
      <c r="F95" s="47">
        <v>214</v>
      </c>
      <c r="G95" s="47">
        <v>163</v>
      </c>
      <c r="H95" s="47">
        <v>123</v>
      </c>
      <c r="I95" s="45">
        <v>82.6</v>
      </c>
    </row>
    <row r="96" spans="2:9">
      <c r="B96" s="47">
        <v>340</v>
      </c>
      <c r="C96" s="47">
        <v>306</v>
      </c>
      <c r="D96" s="47">
        <v>254</v>
      </c>
      <c r="E96" s="47">
        <v>250</v>
      </c>
      <c r="F96" s="47">
        <v>215</v>
      </c>
      <c r="G96" s="47">
        <v>164</v>
      </c>
      <c r="H96" s="47">
        <v>125</v>
      </c>
      <c r="I96" s="45">
        <v>82.3</v>
      </c>
    </row>
    <row r="97" spans="2:9">
      <c r="B97" s="47">
        <v>341</v>
      </c>
      <c r="C97" s="47">
        <v>308</v>
      </c>
      <c r="D97" s="47">
        <v>255</v>
      </c>
      <c r="E97" s="47">
        <v>250</v>
      </c>
      <c r="F97" s="47">
        <v>216</v>
      </c>
      <c r="G97" s="47">
        <v>165</v>
      </c>
      <c r="H97" s="47">
        <v>125</v>
      </c>
      <c r="I97" s="45">
        <v>82</v>
      </c>
    </row>
    <row r="98" spans="2:9">
      <c r="B98" s="47">
        <v>342</v>
      </c>
      <c r="C98" s="47">
        <v>310</v>
      </c>
      <c r="D98" s="47">
        <v>255</v>
      </c>
      <c r="E98" s="47">
        <v>251</v>
      </c>
      <c r="F98" s="47">
        <v>217</v>
      </c>
      <c r="G98" s="47">
        <v>165</v>
      </c>
      <c r="H98" s="47">
        <v>126</v>
      </c>
      <c r="I98" s="45">
        <v>81.7</v>
      </c>
    </row>
    <row r="99" spans="2:9">
      <c r="B99" s="47">
        <v>343</v>
      </c>
      <c r="C99" s="47">
        <v>311</v>
      </c>
      <c r="D99" s="47">
        <v>256</v>
      </c>
      <c r="E99" s="49">
        <v>252</v>
      </c>
      <c r="F99" s="47">
        <v>218</v>
      </c>
      <c r="G99" s="47">
        <v>165</v>
      </c>
      <c r="H99" s="47">
        <v>127</v>
      </c>
      <c r="I99" s="45">
        <v>81.400000000000006</v>
      </c>
    </row>
    <row r="100" spans="2:9">
      <c r="B100" s="47">
        <v>344</v>
      </c>
      <c r="C100" s="47">
        <v>311</v>
      </c>
      <c r="D100" s="47">
        <v>256</v>
      </c>
      <c r="E100" s="47">
        <v>252</v>
      </c>
      <c r="F100" s="47">
        <v>218</v>
      </c>
      <c r="G100" s="47">
        <v>165</v>
      </c>
      <c r="H100" s="47">
        <v>128</v>
      </c>
      <c r="I100" s="45">
        <v>81.099999999999994</v>
      </c>
    </row>
    <row r="101" spans="2:9">
      <c r="B101" s="47">
        <v>345</v>
      </c>
      <c r="C101" s="47">
        <v>314</v>
      </c>
      <c r="D101" s="47">
        <v>258</v>
      </c>
      <c r="E101" s="47">
        <v>253</v>
      </c>
      <c r="F101" s="47">
        <v>221</v>
      </c>
      <c r="G101" s="47">
        <v>166</v>
      </c>
      <c r="H101" s="47">
        <v>130</v>
      </c>
      <c r="I101" s="45">
        <v>80.8</v>
      </c>
    </row>
    <row r="102" spans="2:9">
      <c r="B102" s="47">
        <v>346</v>
      </c>
      <c r="C102" s="47">
        <v>315</v>
      </c>
      <c r="D102" s="47">
        <v>258</v>
      </c>
      <c r="E102" s="47">
        <v>254</v>
      </c>
      <c r="F102" s="47">
        <v>222</v>
      </c>
      <c r="G102" s="47">
        <v>166</v>
      </c>
      <c r="H102" s="47">
        <v>131</v>
      </c>
      <c r="I102" s="45">
        <v>80.5</v>
      </c>
    </row>
    <row r="103" spans="2:9">
      <c r="B103" s="47">
        <v>347</v>
      </c>
      <c r="C103" s="47">
        <v>316</v>
      </c>
      <c r="D103" s="47">
        <v>259</v>
      </c>
      <c r="E103" s="47">
        <v>255</v>
      </c>
      <c r="F103" s="47">
        <v>223</v>
      </c>
      <c r="G103" s="49">
        <v>167</v>
      </c>
      <c r="H103" s="47">
        <v>132</v>
      </c>
      <c r="I103" s="45">
        <v>80.099999999999994</v>
      </c>
    </row>
    <row r="104" spans="2:9">
      <c r="B104" s="47">
        <v>348</v>
      </c>
      <c r="C104" s="47">
        <v>317</v>
      </c>
      <c r="D104" s="47">
        <v>260</v>
      </c>
      <c r="E104" s="47">
        <v>255</v>
      </c>
      <c r="F104" s="47">
        <v>224</v>
      </c>
      <c r="G104" s="47">
        <v>167</v>
      </c>
      <c r="H104" s="47">
        <v>132</v>
      </c>
      <c r="I104" s="45">
        <v>79.8</v>
      </c>
    </row>
    <row r="105" spans="2:9">
      <c r="B105" s="47">
        <v>349</v>
      </c>
      <c r="C105" s="47">
        <v>318</v>
      </c>
      <c r="D105" s="47">
        <v>260</v>
      </c>
      <c r="E105" s="49">
        <v>256</v>
      </c>
      <c r="F105" s="47">
        <v>225</v>
      </c>
      <c r="G105" s="47">
        <v>167</v>
      </c>
      <c r="H105" s="47">
        <v>133</v>
      </c>
      <c r="I105" s="45">
        <v>79.599999999999994</v>
      </c>
    </row>
    <row r="106" spans="2:9">
      <c r="B106" s="47">
        <v>350</v>
      </c>
      <c r="C106" s="47">
        <v>319</v>
      </c>
      <c r="D106" s="47">
        <v>261</v>
      </c>
      <c r="E106" s="47">
        <v>256</v>
      </c>
      <c r="F106" s="47">
        <v>225</v>
      </c>
      <c r="G106" s="47">
        <v>168</v>
      </c>
      <c r="H106" s="47">
        <v>134</v>
      </c>
      <c r="I106" s="45">
        <v>79.2</v>
      </c>
    </row>
    <row r="107" spans="2:9">
      <c r="B107" s="47">
        <v>351</v>
      </c>
      <c r="C107" s="47">
        <v>321</v>
      </c>
      <c r="D107" s="47">
        <v>262</v>
      </c>
      <c r="E107" s="47">
        <v>257</v>
      </c>
      <c r="F107" s="47">
        <v>227</v>
      </c>
      <c r="G107" s="47">
        <v>169</v>
      </c>
      <c r="H107" s="47">
        <v>135</v>
      </c>
      <c r="I107" s="45">
        <v>78.900000000000006</v>
      </c>
    </row>
    <row r="108" spans="2:9">
      <c r="B108" s="47">
        <v>352</v>
      </c>
      <c r="C108" s="47">
        <v>321</v>
      </c>
      <c r="D108" s="47">
        <v>263</v>
      </c>
      <c r="E108" s="47">
        <v>257</v>
      </c>
      <c r="F108" s="47">
        <v>229</v>
      </c>
      <c r="G108" s="47">
        <v>169</v>
      </c>
      <c r="H108" s="47">
        <v>136</v>
      </c>
      <c r="I108" s="45">
        <v>78.599999999999994</v>
      </c>
    </row>
    <row r="109" spans="2:9">
      <c r="B109" s="47">
        <v>353</v>
      </c>
      <c r="C109" s="47">
        <v>323</v>
      </c>
      <c r="D109" s="47">
        <v>264</v>
      </c>
      <c r="E109" s="47">
        <v>258</v>
      </c>
      <c r="F109" s="47">
        <v>230</v>
      </c>
      <c r="G109" s="47">
        <v>170</v>
      </c>
      <c r="H109" s="47">
        <v>137</v>
      </c>
      <c r="I109" s="45">
        <v>78.3</v>
      </c>
    </row>
    <row r="110" spans="2:9">
      <c r="B110" s="47">
        <v>354</v>
      </c>
      <c r="C110" s="47">
        <v>325</v>
      </c>
      <c r="D110" s="47">
        <v>266</v>
      </c>
      <c r="E110" s="49">
        <v>259</v>
      </c>
      <c r="F110" s="47">
        <v>231</v>
      </c>
      <c r="G110" s="49">
        <v>170</v>
      </c>
      <c r="H110" s="47">
        <v>137</v>
      </c>
      <c r="I110" s="45">
        <v>78</v>
      </c>
    </row>
    <row r="111" spans="2:9">
      <c r="B111" s="47">
        <v>355</v>
      </c>
      <c r="C111" s="47">
        <v>326</v>
      </c>
      <c r="D111" s="47">
        <v>266</v>
      </c>
      <c r="E111" s="47">
        <v>259</v>
      </c>
      <c r="F111" s="47">
        <v>232</v>
      </c>
      <c r="G111" s="47">
        <v>171</v>
      </c>
      <c r="H111" s="47">
        <v>138</v>
      </c>
      <c r="I111" s="45">
        <v>77.7</v>
      </c>
    </row>
    <row r="112" spans="2:9">
      <c r="B112" s="47">
        <v>356</v>
      </c>
      <c r="C112" s="47">
        <v>327</v>
      </c>
      <c r="D112" s="47">
        <v>266</v>
      </c>
      <c r="E112" s="47">
        <v>261</v>
      </c>
      <c r="F112" s="47">
        <v>233</v>
      </c>
      <c r="G112" s="47">
        <v>171</v>
      </c>
      <c r="H112" s="47">
        <v>138</v>
      </c>
      <c r="I112" s="45">
        <v>77.400000000000006</v>
      </c>
    </row>
    <row r="113" spans="2:9">
      <c r="B113" s="47">
        <v>357</v>
      </c>
      <c r="C113" s="47">
        <v>328</v>
      </c>
      <c r="D113" s="47">
        <v>267</v>
      </c>
      <c r="E113" s="47">
        <v>262</v>
      </c>
      <c r="F113" s="47">
        <v>234</v>
      </c>
      <c r="G113" s="49">
        <v>171</v>
      </c>
      <c r="H113" s="47">
        <v>139</v>
      </c>
      <c r="I113" s="45">
        <v>77</v>
      </c>
    </row>
    <row r="114" spans="2:9">
      <c r="B114" s="47">
        <v>358</v>
      </c>
      <c r="C114" s="47">
        <v>330</v>
      </c>
      <c r="D114" s="47">
        <v>268</v>
      </c>
      <c r="E114" s="47">
        <v>262</v>
      </c>
      <c r="F114" s="47">
        <v>235</v>
      </c>
      <c r="G114" s="47">
        <v>172</v>
      </c>
      <c r="H114" s="47">
        <v>141</v>
      </c>
      <c r="I114" s="45">
        <v>76.7</v>
      </c>
    </row>
    <row r="115" spans="2:9">
      <c r="B115" s="47">
        <v>359</v>
      </c>
      <c r="C115" s="47">
        <v>331</v>
      </c>
      <c r="D115" s="47">
        <v>269</v>
      </c>
      <c r="E115" s="47">
        <v>263</v>
      </c>
      <c r="F115" s="47">
        <v>236</v>
      </c>
      <c r="G115" s="47">
        <v>172</v>
      </c>
      <c r="H115" s="47">
        <v>142</v>
      </c>
      <c r="I115" s="45">
        <v>76.400000000000006</v>
      </c>
    </row>
    <row r="116" spans="2:9">
      <c r="B116" s="47">
        <v>360</v>
      </c>
      <c r="C116" s="47">
        <v>332</v>
      </c>
      <c r="D116" s="47">
        <v>270</v>
      </c>
      <c r="E116" s="47">
        <v>264</v>
      </c>
      <c r="F116" s="47">
        <v>238</v>
      </c>
      <c r="G116" s="47">
        <v>172</v>
      </c>
      <c r="H116" s="47">
        <v>144</v>
      </c>
      <c r="I116" s="45">
        <v>76.099999999999994</v>
      </c>
    </row>
    <row r="117" spans="2:9">
      <c r="B117" s="47">
        <v>361</v>
      </c>
      <c r="C117" s="47">
        <v>334</v>
      </c>
      <c r="D117" s="47">
        <v>270</v>
      </c>
      <c r="E117" s="47">
        <v>264</v>
      </c>
      <c r="F117" s="47">
        <v>239</v>
      </c>
      <c r="G117" s="47">
        <v>173</v>
      </c>
      <c r="H117" s="47">
        <v>144</v>
      </c>
      <c r="I117" s="45">
        <v>75.8</v>
      </c>
    </row>
    <row r="118" spans="2:9">
      <c r="B118" s="47">
        <v>362</v>
      </c>
      <c r="C118" s="47">
        <v>335</v>
      </c>
      <c r="D118" s="47">
        <v>271</v>
      </c>
      <c r="E118" s="47">
        <v>265</v>
      </c>
      <c r="F118" s="47">
        <v>241</v>
      </c>
      <c r="G118" s="47">
        <v>174</v>
      </c>
      <c r="H118" s="47">
        <v>145</v>
      </c>
      <c r="I118" s="45">
        <v>75.5</v>
      </c>
    </row>
    <row r="119" spans="2:9">
      <c r="B119" s="47">
        <v>363</v>
      </c>
      <c r="C119" s="47">
        <v>337</v>
      </c>
      <c r="D119" s="47">
        <v>271</v>
      </c>
      <c r="E119" s="47">
        <v>266</v>
      </c>
      <c r="F119" s="47">
        <v>242</v>
      </c>
      <c r="G119" s="47">
        <v>174</v>
      </c>
      <c r="H119" s="47">
        <v>146</v>
      </c>
      <c r="I119" s="45">
        <v>75.099999999999994</v>
      </c>
    </row>
    <row r="120" spans="2:9">
      <c r="B120" s="47">
        <v>364</v>
      </c>
      <c r="C120" s="47">
        <v>338</v>
      </c>
      <c r="D120" s="47">
        <v>272</v>
      </c>
      <c r="E120" s="49">
        <v>267</v>
      </c>
      <c r="F120" s="47">
        <v>243</v>
      </c>
      <c r="G120" s="47">
        <v>175</v>
      </c>
      <c r="H120" s="47">
        <v>148</v>
      </c>
      <c r="I120" s="45">
        <v>74.8</v>
      </c>
    </row>
    <row r="121" spans="2:9">
      <c r="B121" s="47">
        <v>365</v>
      </c>
      <c r="C121" s="47">
        <v>341</v>
      </c>
      <c r="D121" s="47">
        <v>274</v>
      </c>
      <c r="E121" s="47">
        <v>268</v>
      </c>
      <c r="F121" s="47">
        <v>245</v>
      </c>
      <c r="G121" s="47">
        <v>175</v>
      </c>
      <c r="H121" s="47">
        <v>149</v>
      </c>
      <c r="I121" s="45">
        <v>74.5</v>
      </c>
    </row>
    <row r="122" spans="2:9">
      <c r="B122" s="47">
        <v>366</v>
      </c>
      <c r="C122" s="47">
        <v>342</v>
      </c>
      <c r="D122" s="47">
        <v>274</v>
      </c>
      <c r="E122" s="47">
        <v>268</v>
      </c>
      <c r="F122" s="47">
        <v>245</v>
      </c>
      <c r="G122" s="47">
        <v>176</v>
      </c>
      <c r="H122" s="47">
        <v>150</v>
      </c>
      <c r="I122" s="45">
        <v>74.099999999999994</v>
      </c>
    </row>
    <row r="123" spans="2:9">
      <c r="B123" s="47">
        <v>367</v>
      </c>
      <c r="C123" s="47">
        <v>345</v>
      </c>
      <c r="D123" s="47">
        <v>275</v>
      </c>
      <c r="E123" s="47">
        <v>270</v>
      </c>
      <c r="F123" s="47">
        <v>247</v>
      </c>
      <c r="G123" s="47">
        <v>176</v>
      </c>
      <c r="H123" s="47">
        <v>151</v>
      </c>
      <c r="I123" s="45">
        <v>73.7</v>
      </c>
    </row>
    <row r="124" spans="2:9">
      <c r="B124" s="47">
        <v>368</v>
      </c>
      <c r="C124" s="47">
        <v>346</v>
      </c>
      <c r="D124" s="47">
        <v>276</v>
      </c>
      <c r="E124" s="47">
        <v>270</v>
      </c>
      <c r="F124" s="47">
        <v>248</v>
      </c>
      <c r="G124" s="47">
        <v>177</v>
      </c>
      <c r="H124" s="47">
        <v>152</v>
      </c>
      <c r="I124" s="45">
        <v>73.3</v>
      </c>
    </row>
    <row r="125" spans="2:9">
      <c r="B125" s="47">
        <v>369</v>
      </c>
      <c r="C125" s="47">
        <v>347</v>
      </c>
      <c r="D125" s="47">
        <v>276</v>
      </c>
      <c r="E125" s="47">
        <v>271</v>
      </c>
      <c r="F125" s="47">
        <v>248</v>
      </c>
      <c r="G125" s="47">
        <v>177</v>
      </c>
      <c r="H125" s="47">
        <v>153</v>
      </c>
      <c r="I125" s="45">
        <v>73</v>
      </c>
    </row>
    <row r="126" spans="2:9">
      <c r="B126" s="47">
        <v>370</v>
      </c>
      <c r="C126" s="47">
        <v>348</v>
      </c>
      <c r="D126" s="47">
        <v>277</v>
      </c>
      <c r="E126" s="47">
        <v>272</v>
      </c>
      <c r="F126" s="47">
        <v>250</v>
      </c>
      <c r="G126" s="47">
        <v>178</v>
      </c>
      <c r="H126" s="47">
        <v>154</v>
      </c>
      <c r="I126" s="45">
        <v>72.599999999999994</v>
      </c>
    </row>
    <row r="127" spans="2:9">
      <c r="B127" s="47">
        <v>371</v>
      </c>
      <c r="C127" s="47">
        <v>349</v>
      </c>
      <c r="D127" s="47">
        <v>278</v>
      </c>
      <c r="E127" s="49">
        <v>273</v>
      </c>
      <c r="F127" s="47">
        <v>250</v>
      </c>
      <c r="G127" s="47">
        <v>178</v>
      </c>
      <c r="H127" s="47">
        <v>155</v>
      </c>
      <c r="I127" s="45">
        <v>72.2</v>
      </c>
    </row>
    <row r="128" spans="2:9">
      <c r="B128" s="47">
        <v>372</v>
      </c>
      <c r="C128" s="47">
        <v>351</v>
      </c>
      <c r="D128" s="47">
        <v>278</v>
      </c>
      <c r="E128" s="47">
        <v>273</v>
      </c>
      <c r="F128" s="47">
        <v>252</v>
      </c>
      <c r="G128" s="47">
        <v>179</v>
      </c>
      <c r="H128" s="47">
        <v>157</v>
      </c>
      <c r="I128" s="45">
        <v>71.900000000000006</v>
      </c>
    </row>
    <row r="129" spans="2:9">
      <c r="B129" s="47">
        <v>373</v>
      </c>
      <c r="C129" s="47">
        <v>353</v>
      </c>
      <c r="D129" s="47">
        <v>280</v>
      </c>
      <c r="E129" s="47">
        <v>274</v>
      </c>
      <c r="F129" s="47">
        <v>254</v>
      </c>
      <c r="G129" s="47">
        <v>179</v>
      </c>
      <c r="H129" s="47">
        <v>158</v>
      </c>
      <c r="I129" s="45">
        <v>71.5</v>
      </c>
    </row>
    <row r="130" spans="2:9">
      <c r="B130" s="47">
        <v>374</v>
      </c>
      <c r="C130" s="47">
        <v>354</v>
      </c>
      <c r="D130" s="47">
        <v>281</v>
      </c>
      <c r="E130" s="47">
        <v>275</v>
      </c>
      <c r="F130" s="47">
        <v>255</v>
      </c>
      <c r="G130" s="47">
        <v>180</v>
      </c>
      <c r="H130" s="47">
        <v>160</v>
      </c>
      <c r="I130" s="45">
        <v>71.099999999999994</v>
      </c>
    </row>
    <row r="131" spans="2:9">
      <c r="B131" s="47">
        <v>375</v>
      </c>
      <c r="C131" s="47">
        <v>355</v>
      </c>
      <c r="D131" s="47">
        <v>281</v>
      </c>
      <c r="E131" s="47">
        <v>276</v>
      </c>
      <c r="F131" s="47">
        <v>256</v>
      </c>
      <c r="G131" s="47">
        <v>180</v>
      </c>
      <c r="H131" s="47">
        <v>161</v>
      </c>
      <c r="I131" s="45">
        <v>70.7</v>
      </c>
    </row>
    <row r="132" spans="2:9">
      <c r="B132" s="47">
        <v>376</v>
      </c>
      <c r="C132" s="47">
        <v>357</v>
      </c>
      <c r="D132" s="47">
        <v>282</v>
      </c>
      <c r="E132" s="47">
        <v>276</v>
      </c>
      <c r="F132" s="47">
        <v>257</v>
      </c>
      <c r="G132" s="49">
        <v>181</v>
      </c>
      <c r="H132" s="47">
        <v>162</v>
      </c>
      <c r="I132" s="45">
        <v>70.400000000000006</v>
      </c>
    </row>
    <row r="133" spans="2:9">
      <c r="B133" s="47">
        <v>377</v>
      </c>
      <c r="C133" s="47">
        <v>359</v>
      </c>
      <c r="D133" s="47">
        <v>282</v>
      </c>
      <c r="E133" s="49">
        <v>277</v>
      </c>
      <c r="F133" s="47">
        <v>258</v>
      </c>
      <c r="G133" s="47">
        <v>181</v>
      </c>
      <c r="H133" s="47">
        <v>163</v>
      </c>
      <c r="I133" s="45">
        <v>70</v>
      </c>
    </row>
    <row r="134" spans="2:9">
      <c r="B134" s="47">
        <v>378</v>
      </c>
      <c r="C134" s="47">
        <v>361</v>
      </c>
      <c r="D134" s="47">
        <v>283</v>
      </c>
      <c r="E134" s="47">
        <v>278</v>
      </c>
      <c r="F134" s="47">
        <v>260</v>
      </c>
      <c r="G134" s="47">
        <v>182</v>
      </c>
      <c r="H134" s="47">
        <v>164</v>
      </c>
      <c r="I134" s="45">
        <v>69.599999999999994</v>
      </c>
    </row>
    <row r="135" spans="2:9">
      <c r="B135" s="47">
        <v>379</v>
      </c>
      <c r="C135" s="47">
        <v>362</v>
      </c>
      <c r="D135" s="47">
        <v>284</v>
      </c>
      <c r="E135" s="47">
        <v>278</v>
      </c>
      <c r="F135" s="47">
        <v>261</v>
      </c>
      <c r="G135" s="47">
        <v>183</v>
      </c>
      <c r="H135" s="47">
        <v>165</v>
      </c>
      <c r="I135" s="45">
        <v>69.2</v>
      </c>
    </row>
    <row r="136" spans="2:9">
      <c r="B136" s="47">
        <v>380</v>
      </c>
      <c r="C136" s="47">
        <v>363</v>
      </c>
      <c r="D136" s="47">
        <v>284</v>
      </c>
      <c r="E136" s="47">
        <v>279</v>
      </c>
      <c r="F136" s="47">
        <v>262</v>
      </c>
      <c r="G136" s="47">
        <v>183</v>
      </c>
      <c r="H136" s="47">
        <v>166</v>
      </c>
      <c r="I136" s="45">
        <v>68.8</v>
      </c>
    </row>
    <row r="137" spans="2:9">
      <c r="B137" s="47">
        <v>381</v>
      </c>
      <c r="C137" s="47">
        <v>364</v>
      </c>
      <c r="D137" s="47">
        <v>285</v>
      </c>
      <c r="E137" s="49">
        <v>280</v>
      </c>
      <c r="F137" s="47">
        <v>264</v>
      </c>
      <c r="G137" s="47">
        <v>184</v>
      </c>
      <c r="H137" s="47">
        <v>167</v>
      </c>
      <c r="I137" s="45">
        <v>68.5</v>
      </c>
    </row>
    <row r="138" spans="2:9">
      <c r="B138" s="47">
        <v>382</v>
      </c>
      <c r="C138" s="47">
        <v>367</v>
      </c>
      <c r="D138" s="47">
        <v>287</v>
      </c>
      <c r="E138" s="47">
        <v>281</v>
      </c>
      <c r="F138" s="47">
        <v>265</v>
      </c>
      <c r="G138" s="47">
        <v>185</v>
      </c>
      <c r="H138" s="47">
        <v>169</v>
      </c>
      <c r="I138" s="45">
        <v>68.099999999999994</v>
      </c>
    </row>
    <row r="139" spans="2:9">
      <c r="B139" s="47">
        <v>383</v>
      </c>
      <c r="C139" s="47">
        <v>369</v>
      </c>
      <c r="D139" s="47">
        <v>287</v>
      </c>
      <c r="E139" s="47">
        <v>282</v>
      </c>
      <c r="F139" s="47">
        <v>267</v>
      </c>
      <c r="G139" s="47">
        <v>185</v>
      </c>
      <c r="H139" s="47">
        <v>170</v>
      </c>
      <c r="I139" s="45">
        <v>67.7</v>
      </c>
    </row>
    <row r="140" spans="2:9">
      <c r="B140" s="47">
        <v>384</v>
      </c>
      <c r="C140" s="47">
        <v>370</v>
      </c>
      <c r="D140" s="47">
        <v>288</v>
      </c>
      <c r="E140" s="47">
        <v>283</v>
      </c>
      <c r="F140" s="47">
        <v>268</v>
      </c>
      <c r="G140" s="47">
        <v>186</v>
      </c>
      <c r="H140" s="47">
        <v>171</v>
      </c>
      <c r="I140" s="45">
        <v>67.2</v>
      </c>
    </row>
    <row r="141" spans="2:9">
      <c r="B141" s="47">
        <v>385</v>
      </c>
      <c r="C141" s="47">
        <v>371</v>
      </c>
      <c r="D141" s="47">
        <v>289</v>
      </c>
      <c r="E141" s="47">
        <v>283</v>
      </c>
      <c r="F141" s="47">
        <v>269</v>
      </c>
      <c r="G141" s="47">
        <v>186</v>
      </c>
      <c r="H141" s="47">
        <v>172</v>
      </c>
      <c r="I141" s="45">
        <v>66.7</v>
      </c>
    </row>
    <row r="142" spans="2:9">
      <c r="B142" s="47">
        <v>386</v>
      </c>
      <c r="C142" s="47">
        <v>373</v>
      </c>
      <c r="D142" s="47">
        <v>289</v>
      </c>
      <c r="E142" s="47">
        <v>284</v>
      </c>
      <c r="F142" s="47">
        <v>270</v>
      </c>
      <c r="G142" s="47">
        <v>187</v>
      </c>
      <c r="H142" s="47">
        <v>173</v>
      </c>
      <c r="I142" s="45">
        <v>66.2</v>
      </c>
    </row>
    <row r="143" spans="2:9">
      <c r="B143" s="47">
        <v>387</v>
      </c>
      <c r="C143" s="47">
        <v>373</v>
      </c>
      <c r="D143" s="47">
        <v>290</v>
      </c>
      <c r="E143" s="47">
        <v>285</v>
      </c>
      <c r="F143" s="47">
        <v>271</v>
      </c>
      <c r="G143" s="47">
        <v>187</v>
      </c>
      <c r="H143" s="47">
        <v>174</v>
      </c>
      <c r="I143" s="45">
        <v>65.7</v>
      </c>
    </row>
    <row r="144" spans="2:9">
      <c r="B144" s="47">
        <v>388</v>
      </c>
      <c r="C144" s="47">
        <v>375</v>
      </c>
      <c r="D144" s="47">
        <v>291</v>
      </c>
      <c r="E144" s="47">
        <v>286</v>
      </c>
      <c r="F144" s="47">
        <v>272</v>
      </c>
      <c r="G144" s="47">
        <v>188</v>
      </c>
      <c r="H144" s="47">
        <v>175</v>
      </c>
      <c r="I144" s="45">
        <v>65.2</v>
      </c>
    </row>
    <row r="145" spans="2:9">
      <c r="B145" s="47">
        <v>389</v>
      </c>
      <c r="C145" s="47">
        <v>377</v>
      </c>
      <c r="D145" s="47">
        <v>291</v>
      </c>
      <c r="E145" s="47">
        <v>287</v>
      </c>
      <c r="F145" s="47">
        <v>273</v>
      </c>
      <c r="G145" s="47">
        <v>188</v>
      </c>
      <c r="H145" s="47">
        <v>176</v>
      </c>
      <c r="I145" s="45">
        <v>64.7</v>
      </c>
    </row>
    <row r="146" spans="2:9">
      <c r="B146" s="47">
        <v>390</v>
      </c>
      <c r="C146" s="47">
        <v>379</v>
      </c>
      <c r="D146" s="47">
        <v>292</v>
      </c>
      <c r="E146" s="47">
        <v>288</v>
      </c>
      <c r="F146" s="47">
        <v>275</v>
      </c>
      <c r="G146" s="47">
        <v>189</v>
      </c>
      <c r="H146" s="47">
        <v>177</v>
      </c>
      <c r="I146" s="45">
        <v>64.2</v>
      </c>
    </row>
    <row r="147" spans="2:9">
      <c r="B147" s="47">
        <v>391</v>
      </c>
      <c r="C147" s="47">
        <v>381</v>
      </c>
      <c r="D147" s="47">
        <v>293</v>
      </c>
      <c r="E147" s="47">
        <v>289</v>
      </c>
      <c r="F147" s="47">
        <v>278</v>
      </c>
      <c r="G147" s="47">
        <v>190</v>
      </c>
      <c r="H147" s="47">
        <v>179</v>
      </c>
      <c r="I147" s="45">
        <v>63.7</v>
      </c>
    </row>
    <row r="148" spans="2:9">
      <c r="B148" s="47">
        <v>392</v>
      </c>
      <c r="C148" s="47">
        <v>383</v>
      </c>
      <c r="D148" s="47">
        <v>294</v>
      </c>
      <c r="E148" s="47">
        <v>289</v>
      </c>
      <c r="F148" s="47">
        <v>279</v>
      </c>
      <c r="G148" s="47">
        <v>190</v>
      </c>
      <c r="H148" s="47">
        <v>180</v>
      </c>
      <c r="I148" s="45">
        <v>63.2</v>
      </c>
    </row>
    <row r="149" spans="2:9">
      <c r="B149" s="47">
        <v>393</v>
      </c>
      <c r="C149" s="47">
        <v>383</v>
      </c>
      <c r="D149" s="47">
        <v>294</v>
      </c>
      <c r="E149" s="49">
        <v>290</v>
      </c>
      <c r="F149" s="47">
        <v>280</v>
      </c>
      <c r="G149" s="47">
        <v>191</v>
      </c>
      <c r="H149" s="47">
        <v>181</v>
      </c>
      <c r="I149" s="45">
        <v>62.7</v>
      </c>
    </row>
    <row r="150" spans="2:9">
      <c r="B150" s="47">
        <v>394</v>
      </c>
      <c r="C150" s="47">
        <v>384</v>
      </c>
      <c r="D150" s="47">
        <v>295</v>
      </c>
      <c r="E150" s="47">
        <v>290</v>
      </c>
      <c r="F150" s="47">
        <v>281</v>
      </c>
      <c r="G150" s="47">
        <v>191</v>
      </c>
      <c r="H150" s="47">
        <v>182</v>
      </c>
      <c r="I150" s="45">
        <v>62.2</v>
      </c>
    </row>
    <row r="151" spans="2:9">
      <c r="B151" s="47">
        <v>395</v>
      </c>
      <c r="C151" s="47">
        <v>387</v>
      </c>
      <c r="D151" s="47">
        <v>296</v>
      </c>
      <c r="E151" s="49">
        <v>291</v>
      </c>
      <c r="F151" s="47">
        <v>283</v>
      </c>
      <c r="G151" s="47">
        <v>192</v>
      </c>
      <c r="H151" s="47">
        <v>184</v>
      </c>
      <c r="I151" s="45">
        <v>61.7</v>
      </c>
    </row>
    <row r="152" spans="2:9">
      <c r="B152" s="47">
        <v>396</v>
      </c>
      <c r="C152" s="47">
        <v>389</v>
      </c>
      <c r="D152" s="47">
        <v>297</v>
      </c>
      <c r="E152" s="47">
        <v>292</v>
      </c>
      <c r="F152" s="47">
        <v>285</v>
      </c>
      <c r="G152" s="47">
        <v>193</v>
      </c>
      <c r="H152" s="47">
        <v>186</v>
      </c>
      <c r="I152" s="45">
        <v>61.2</v>
      </c>
    </row>
    <row r="153" spans="2:9">
      <c r="B153" s="47">
        <v>397</v>
      </c>
      <c r="C153" s="47">
        <v>391</v>
      </c>
      <c r="D153" s="47">
        <v>298</v>
      </c>
      <c r="E153" s="47">
        <v>293</v>
      </c>
      <c r="F153" s="47">
        <v>286</v>
      </c>
      <c r="G153" s="47">
        <v>194</v>
      </c>
      <c r="H153" s="47">
        <v>187</v>
      </c>
      <c r="I153" s="45">
        <v>60.7</v>
      </c>
    </row>
    <row r="154" spans="2:9">
      <c r="B154" s="47">
        <v>398</v>
      </c>
      <c r="C154" s="47">
        <v>393</v>
      </c>
      <c r="D154" s="47">
        <v>298</v>
      </c>
      <c r="E154" s="47">
        <v>294</v>
      </c>
      <c r="F154" s="47">
        <v>287</v>
      </c>
      <c r="G154" s="47">
        <v>194</v>
      </c>
      <c r="H154" s="47">
        <v>188</v>
      </c>
      <c r="I154" s="45">
        <v>60.2</v>
      </c>
    </row>
    <row r="155" spans="2:9">
      <c r="B155" s="47">
        <v>399</v>
      </c>
      <c r="C155" s="47">
        <v>394</v>
      </c>
      <c r="D155" s="47">
        <v>299</v>
      </c>
      <c r="E155" s="47">
        <v>294</v>
      </c>
      <c r="F155" s="47">
        <v>288</v>
      </c>
      <c r="G155" s="49">
        <v>195</v>
      </c>
      <c r="H155" s="47">
        <v>190</v>
      </c>
      <c r="I155" s="45">
        <v>59.7</v>
      </c>
    </row>
    <row r="156" spans="2:9">
      <c r="B156" s="47">
        <v>400</v>
      </c>
      <c r="C156" s="47">
        <v>396</v>
      </c>
      <c r="D156" s="47">
        <v>300</v>
      </c>
      <c r="E156" s="47">
        <v>295</v>
      </c>
      <c r="F156" s="47">
        <v>290</v>
      </c>
      <c r="G156" s="47">
        <v>195</v>
      </c>
      <c r="H156" s="47">
        <v>191</v>
      </c>
      <c r="I156" s="45">
        <v>59.2</v>
      </c>
    </row>
    <row r="157" spans="2:9">
      <c r="B157" s="47">
        <v>401</v>
      </c>
      <c r="C157" s="47">
        <v>396</v>
      </c>
      <c r="D157" s="47">
        <v>301</v>
      </c>
      <c r="E157" s="47">
        <v>296</v>
      </c>
      <c r="F157" s="47">
        <v>291</v>
      </c>
      <c r="G157" s="47">
        <v>196</v>
      </c>
      <c r="H157" s="47">
        <v>192</v>
      </c>
      <c r="I157" s="45">
        <v>58.7</v>
      </c>
    </row>
    <row r="158" spans="2:9">
      <c r="B158" s="47">
        <v>402</v>
      </c>
      <c r="C158" s="47">
        <v>398</v>
      </c>
      <c r="D158" s="47">
        <v>301</v>
      </c>
      <c r="E158" s="47">
        <v>296</v>
      </c>
      <c r="F158" s="47">
        <v>292</v>
      </c>
      <c r="G158" s="47">
        <v>196</v>
      </c>
      <c r="H158" s="47">
        <v>194</v>
      </c>
      <c r="I158" s="45">
        <v>58.2</v>
      </c>
    </row>
    <row r="159" spans="2:9">
      <c r="B159" s="47">
        <v>403</v>
      </c>
      <c r="C159" s="47">
        <v>399</v>
      </c>
      <c r="D159" s="47">
        <v>302</v>
      </c>
      <c r="E159" s="47">
        <v>297</v>
      </c>
      <c r="F159" s="47">
        <v>294</v>
      </c>
      <c r="G159" s="47">
        <v>197</v>
      </c>
      <c r="H159" s="47">
        <v>195</v>
      </c>
      <c r="I159" s="45">
        <v>57.7</v>
      </c>
    </row>
    <row r="160" spans="2:9">
      <c r="B160" s="47">
        <v>404</v>
      </c>
      <c r="C160" s="47">
        <v>400</v>
      </c>
      <c r="D160" s="47">
        <v>303</v>
      </c>
      <c r="E160" s="47">
        <v>298</v>
      </c>
      <c r="F160" s="47">
        <v>295</v>
      </c>
      <c r="G160" s="47">
        <v>197</v>
      </c>
      <c r="H160" s="47">
        <v>196</v>
      </c>
      <c r="I160" s="45">
        <v>57.2</v>
      </c>
    </row>
    <row r="161" spans="2:9">
      <c r="B161" s="47">
        <v>405</v>
      </c>
      <c r="C161" s="47">
        <v>402</v>
      </c>
      <c r="D161" s="47">
        <v>304</v>
      </c>
      <c r="E161" s="47">
        <v>299</v>
      </c>
      <c r="F161" s="47">
        <v>297</v>
      </c>
      <c r="G161" s="47">
        <v>198</v>
      </c>
      <c r="H161" s="47">
        <v>197</v>
      </c>
      <c r="I161" s="45">
        <v>56.7</v>
      </c>
    </row>
    <row r="162" spans="2:9">
      <c r="B162" s="47">
        <v>406</v>
      </c>
      <c r="C162" s="47">
        <v>404</v>
      </c>
      <c r="D162" s="47">
        <v>305</v>
      </c>
      <c r="E162" s="47">
        <v>300</v>
      </c>
      <c r="F162" s="47">
        <v>299</v>
      </c>
      <c r="G162" s="47">
        <v>199</v>
      </c>
      <c r="H162" s="47">
        <v>198</v>
      </c>
      <c r="I162" s="45">
        <v>56.2</v>
      </c>
    </row>
    <row r="163" spans="2:9">
      <c r="B163" s="47">
        <v>407</v>
      </c>
      <c r="C163" s="47">
        <v>405</v>
      </c>
      <c r="D163" s="47">
        <v>306</v>
      </c>
      <c r="E163" s="47">
        <v>300</v>
      </c>
      <c r="F163" s="47">
        <v>301</v>
      </c>
      <c r="G163" s="47">
        <v>199</v>
      </c>
      <c r="H163" s="47">
        <v>199</v>
      </c>
      <c r="I163" s="45">
        <v>55.7</v>
      </c>
    </row>
    <row r="164" spans="2:9">
      <c r="B164" s="47">
        <v>408</v>
      </c>
      <c r="C164" s="47">
        <v>408</v>
      </c>
      <c r="D164" s="47">
        <v>307</v>
      </c>
      <c r="E164" s="47">
        <v>301</v>
      </c>
      <c r="F164" s="47">
        <v>303</v>
      </c>
      <c r="G164" s="47">
        <v>200</v>
      </c>
      <c r="H164" s="47">
        <v>201</v>
      </c>
      <c r="I164" s="45">
        <v>55.2</v>
      </c>
    </row>
    <row r="165" spans="2:9">
      <c r="B165" s="47">
        <v>409</v>
      </c>
      <c r="C165" s="47">
        <v>409</v>
      </c>
      <c r="D165" s="47">
        <v>307</v>
      </c>
      <c r="E165" s="47">
        <v>302</v>
      </c>
      <c r="F165" s="47">
        <v>304</v>
      </c>
      <c r="G165" s="47">
        <v>201</v>
      </c>
      <c r="H165" s="47">
        <v>202</v>
      </c>
      <c r="I165" s="45">
        <v>54.7</v>
      </c>
    </row>
    <row r="166" spans="2:9">
      <c r="B166" s="47">
        <v>410</v>
      </c>
      <c r="C166" s="47">
        <v>411</v>
      </c>
      <c r="D166" s="47">
        <v>308</v>
      </c>
      <c r="E166" s="47">
        <v>303</v>
      </c>
      <c r="F166" s="47">
        <v>306</v>
      </c>
      <c r="G166" s="47">
        <v>202</v>
      </c>
      <c r="H166" s="47">
        <v>204</v>
      </c>
      <c r="I166" s="45">
        <v>54.2</v>
      </c>
    </row>
    <row r="167" spans="2:9">
      <c r="B167" s="47">
        <v>411</v>
      </c>
      <c r="C167" s="47">
        <v>413</v>
      </c>
      <c r="D167" s="47">
        <v>309</v>
      </c>
      <c r="E167" s="47">
        <v>303</v>
      </c>
      <c r="F167" s="47">
        <v>307</v>
      </c>
      <c r="G167" s="47">
        <v>202</v>
      </c>
      <c r="H167" s="47">
        <v>205</v>
      </c>
      <c r="I167" s="45">
        <v>53.7</v>
      </c>
    </row>
    <row r="168" spans="2:9">
      <c r="B168" s="47">
        <v>412</v>
      </c>
      <c r="C168" s="47">
        <v>415</v>
      </c>
      <c r="D168" s="47">
        <v>309</v>
      </c>
      <c r="E168" s="47">
        <v>305</v>
      </c>
      <c r="F168" s="47">
        <v>308</v>
      </c>
      <c r="G168" s="47">
        <v>203</v>
      </c>
      <c r="H168" s="47">
        <v>206</v>
      </c>
      <c r="I168" s="45">
        <v>53.2</v>
      </c>
    </row>
    <row r="169" spans="2:9">
      <c r="B169" s="47">
        <v>413</v>
      </c>
      <c r="C169" s="47">
        <v>417</v>
      </c>
      <c r="D169" s="47">
        <v>310</v>
      </c>
      <c r="E169" s="47">
        <v>305</v>
      </c>
      <c r="F169" s="47">
        <v>310</v>
      </c>
      <c r="G169" s="47">
        <v>203</v>
      </c>
      <c r="H169" s="47">
        <v>208</v>
      </c>
      <c r="I169" s="45">
        <v>52.7</v>
      </c>
    </row>
    <row r="170" spans="2:9">
      <c r="B170" s="47">
        <v>414</v>
      </c>
      <c r="C170" s="47">
        <v>418</v>
      </c>
      <c r="D170" s="47">
        <v>311</v>
      </c>
      <c r="E170" s="47">
        <v>306</v>
      </c>
      <c r="F170" s="47">
        <v>311</v>
      </c>
      <c r="G170" s="47">
        <v>204</v>
      </c>
      <c r="H170" s="47">
        <v>209</v>
      </c>
      <c r="I170" s="45">
        <v>52.2</v>
      </c>
    </row>
    <row r="171" spans="2:9">
      <c r="B171" s="47">
        <v>415</v>
      </c>
      <c r="C171" s="47">
        <v>420</v>
      </c>
      <c r="D171" s="47">
        <v>311</v>
      </c>
      <c r="E171" s="47">
        <v>307</v>
      </c>
      <c r="F171" s="47">
        <v>312</v>
      </c>
      <c r="G171" s="47">
        <v>205</v>
      </c>
      <c r="H171" s="47">
        <v>210</v>
      </c>
      <c r="I171" s="45">
        <v>51.7</v>
      </c>
    </row>
    <row r="172" spans="2:9">
      <c r="B172" s="47">
        <v>416</v>
      </c>
      <c r="C172" s="47">
        <v>422</v>
      </c>
      <c r="D172" s="47">
        <v>312</v>
      </c>
      <c r="E172" s="47">
        <v>308</v>
      </c>
      <c r="F172" s="47">
        <v>314</v>
      </c>
      <c r="G172" s="47">
        <v>205</v>
      </c>
      <c r="H172" s="47">
        <v>211</v>
      </c>
      <c r="I172" s="45">
        <v>51.2</v>
      </c>
    </row>
    <row r="173" spans="2:9">
      <c r="B173" s="47">
        <v>417</v>
      </c>
      <c r="C173" s="47">
        <v>423</v>
      </c>
      <c r="D173" s="47">
        <v>313</v>
      </c>
      <c r="E173" s="47">
        <v>308</v>
      </c>
      <c r="F173" s="47">
        <v>315</v>
      </c>
      <c r="G173" s="49">
        <v>206</v>
      </c>
      <c r="H173" s="47">
        <v>212</v>
      </c>
      <c r="I173" s="45">
        <v>50.7</v>
      </c>
    </row>
    <row r="174" spans="2:9">
      <c r="B174" s="47">
        <v>418</v>
      </c>
      <c r="C174" s="47">
        <v>425</v>
      </c>
      <c r="D174" s="47">
        <v>313</v>
      </c>
      <c r="E174" s="47">
        <v>309</v>
      </c>
      <c r="F174" s="47">
        <v>316</v>
      </c>
      <c r="G174" s="47">
        <v>207</v>
      </c>
      <c r="H174" s="47">
        <v>214</v>
      </c>
      <c r="I174" s="45">
        <v>50.2</v>
      </c>
    </row>
    <row r="175" spans="2:9">
      <c r="B175" s="47">
        <v>419</v>
      </c>
      <c r="C175" s="47">
        <v>426</v>
      </c>
      <c r="D175" s="47">
        <v>314</v>
      </c>
      <c r="E175" s="47">
        <v>310</v>
      </c>
      <c r="F175" s="47">
        <v>318</v>
      </c>
      <c r="G175" s="47">
        <v>207</v>
      </c>
      <c r="H175" s="47">
        <v>215</v>
      </c>
      <c r="I175" s="45">
        <v>49.7</v>
      </c>
    </row>
    <row r="176" spans="2:9">
      <c r="B176" s="47">
        <v>420</v>
      </c>
      <c r="C176" s="47">
        <v>428</v>
      </c>
      <c r="D176" s="47">
        <v>314</v>
      </c>
      <c r="E176" s="47">
        <v>310</v>
      </c>
      <c r="F176" s="47">
        <v>318</v>
      </c>
      <c r="G176" s="47">
        <v>208</v>
      </c>
      <c r="H176" s="47">
        <v>216</v>
      </c>
      <c r="I176" s="45">
        <v>49.2</v>
      </c>
    </row>
    <row r="177" spans="2:9">
      <c r="B177" s="47">
        <v>421</v>
      </c>
      <c r="C177" s="47">
        <v>429</v>
      </c>
      <c r="D177" s="47">
        <v>315</v>
      </c>
      <c r="E177" s="49">
        <v>311</v>
      </c>
      <c r="F177" s="47">
        <v>319</v>
      </c>
      <c r="G177" s="47">
        <v>208</v>
      </c>
      <c r="H177" s="47">
        <v>216</v>
      </c>
      <c r="I177" s="45">
        <v>48.7</v>
      </c>
    </row>
    <row r="178" spans="2:9">
      <c r="B178" s="47">
        <v>422</v>
      </c>
      <c r="C178" s="47">
        <v>430</v>
      </c>
      <c r="D178" s="47">
        <v>316</v>
      </c>
      <c r="E178" s="47">
        <v>312</v>
      </c>
      <c r="F178" s="47">
        <v>321</v>
      </c>
      <c r="G178" s="47">
        <v>208</v>
      </c>
      <c r="H178" s="47">
        <v>217</v>
      </c>
      <c r="I178" s="45">
        <v>48.2</v>
      </c>
    </row>
    <row r="179" spans="2:9">
      <c r="B179" s="47">
        <v>423</v>
      </c>
      <c r="C179" s="47">
        <v>432</v>
      </c>
      <c r="D179" s="47">
        <v>316</v>
      </c>
      <c r="E179" s="47">
        <v>313</v>
      </c>
      <c r="F179" s="47">
        <v>323</v>
      </c>
      <c r="G179" s="47">
        <v>209</v>
      </c>
      <c r="H179" s="47">
        <v>219</v>
      </c>
      <c r="I179" s="45">
        <v>47.7</v>
      </c>
    </row>
    <row r="180" spans="2:9">
      <c r="B180" s="47">
        <v>424</v>
      </c>
      <c r="C180" s="47">
        <v>434</v>
      </c>
      <c r="D180" s="47">
        <v>317</v>
      </c>
      <c r="E180" s="47">
        <v>313</v>
      </c>
      <c r="F180" s="47">
        <v>325</v>
      </c>
      <c r="G180" s="49">
        <v>209</v>
      </c>
      <c r="H180" s="47">
        <v>220</v>
      </c>
      <c r="I180" s="45">
        <v>47.2</v>
      </c>
    </row>
    <row r="181" spans="2:9">
      <c r="B181" s="47">
        <v>425</v>
      </c>
      <c r="C181" s="47">
        <v>435</v>
      </c>
      <c r="D181" s="47">
        <v>318</v>
      </c>
      <c r="E181" s="47">
        <v>314</v>
      </c>
      <c r="F181" s="47">
        <v>326</v>
      </c>
      <c r="G181" s="47">
        <v>210</v>
      </c>
      <c r="H181" s="47">
        <v>220</v>
      </c>
      <c r="I181" s="45">
        <v>46.7</v>
      </c>
    </row>
    <row r="182" spans="2:9">
      <c r="B182" s="47">
        <v>426</v>
      </c>
      <c r="C182" s="47">
        <v>437</v>
      </c>
      <c r="D182" s="47">
        <v>319</v>
      </c>
      <c r="E182" s="47">
        <v>315</v>
      </c>
      <c r="F182" s="47">
        <v>328</v>
      </c>
      <c r="G182" s="47">
        <v>211</v>
      </c>
      <c r="H182" s="47">
        <v>222</v>
      </c>
      <c r="I182" s="45">
        <v>46.2</v>
      </c>
    </row>
    <row r="183" spans="2:9">
      <c r="B183" s="47">
        <v>427</v>
      </c>
      <c r="C183" s="47">
        <v>438</v>
      </c>
      <c r="D183" s="47">
        <v>320</v>
      </c>
      <c r="E183" s="47">
        <v>316</v>
      </c>
      <c r="F183" s="47">
        <v>330</v>
      </c>
      <c r="G183" s="49">
        <v>212</v>
      </c>
      <c r="H183" s="47">
        <v>224</v>
      </c>
      <c r="I183" s="45">
        <v>45.7</v>
      </c>
    </row>
    <row r="184" spans="2:9">
      <c r="B184" s="47">
        <v>428</v>
      </c>
      <c r="C184" s="47">
        <v>441</v>
      </c>
      <c r="D184" s="47">
        <v>320</v>
      </c>
      <c r="E184" s="47">
        <v>317</v>
      </c>
      <c r="F184" s="47">
        <v>331</v>
      </c>
      <c r="G184" s="47">
        <v>212</v>
      </c>
      <c r="H184" s="47">
        <v>225</v>
      </c>
      <c r="I184" s="45">
        <v>45.2</v>
      </c>
    </row>
    <row r="185" spans="2:9">
      <c r="B185" s="47">
        <v>429</v>
      </c>
      <c r="C185" s="47">
        <v>442</v>
      </c>
      <c r="D185" s="47">
        <v>321</v>
      </c>
      <c r="E185" s="47">
        <v>318</v>
      </c>
      <c r="F185" s="47">
        <v>332</v>
      </c>
      <c r="G185" s="47">
        <v>213</v>
      </c>
      <c r="H185" s="47">
        <v>227</v>
      </c>
      <c r="I185" s="45">
        <v>44.7</v>
      </c>
    </row>
    <row r="186" spans="2:9">
      <c r="B186" s="47">
        <v>430</v>
      </c>
      <c r="C186" s="47">
        <v>444</v>
      </c>
      <c r="D186" s="47">
        <v>322</v>
      </c>
      <c r="E186" s="47">
        <v>319</v>
      </c>
      <c r="F186" s="47">
        <v>334</v>
      </c>
      <c r="G186" s="47">
        <v>213</v>
      </c>
      <c r="H186" s="47">
        <v>228</v>
      </c>
      <c r="I186" s="45">
        <v>44.2</v>
      </c>
    </row>
    <row r="187" spans="2:9">
      <c r="B187" s="47">
        <v>431</v>
      </c>
      <c r="C187" s="47">
        <v>445</v>
      </c>
      <c r="D187" s="47">
        <v>322</v>
      </c>
      <c r="E187" s="47">
        <v>319</v>
      </c>
      <c r="F187" s="47">
        <v>335</v>
      </c>
      <c r="G187" s="47">
        <v>214</v>
      </c>
      <c r="H187" s="47">
        <v>230</v>
      </c>
      <c r="I187" s="45">
        <v>43.7</v>
      </c>
    </row>
    <row r="188" spans="2:9">
      <c r="B188" s="47">
        <v>432</v>
      </c>
      <c r="C188" s="47">
        <v>447</v>
      </c>
      <c r="D188" s="47">
        <v>324</v>
      </c>
      <c r="E188" s="47">
        <v>321</v>
      </c>
      <c r="F188" s="47">
        <v>336</v>
      </c>
      <c r="G188" s="47">
        <v>214</v>
      </c>
      <c r="H188" s="47">
        <v>231</v>
      </c>
      <c r="I188" s="45">
        <v>43.1</v>
      </c>
    </row>
    <row r="189" spans="2:9">
      <c r="B189" s="47">
        <v>433</v>
      </c>
      <c r="C189" s="47">
        <v>448</v>
      </c>
      <c r="D189" s="47">
        <v>324</v>
      </c>
      <c r="E189" s="47">
        <v>321</v>
      </c>
      <c r="F189" s="47">
        <v>338</v>
      </c>
      <c r="G189" s="47">
        <v>215</v>
      </c>
      <c r="H189" s="47">
        <v>232</v>
      </c>
      <c r="I189" s="45">
        <v>42.5</v>
      </c>
    </row>
    <row r="190" spans="2:9">
      <c r="B190" s="47">
        <v>434</v>
      </c>
      <c r="C190" s="47">
        <v>450</v>
      </c>
      <c r="D190" s="47">
        <v>325</v>
      </c>
      <c r="E190" s="47">
        <v>322</v>
      </c>
      <c r="F190" s="47">
        <v>340</v>
      </c>
      <c r="G190" s="47">
        <v>216</v>
      </c>
      <c r="H190" s="47">
        <v>234</v>
      </c>
      <c r="I190" s="45">
        <v>41.9</v>
      </c>
    </row>
    <row r="191" spans="2:9">
      <c r="B191" s="47">
        <v>435</v>
      </c>
      <c r="C191" s="47">
        <v>452</v>
      </c>
      <c r="D191" s="47">
        <v>326</v>
      </c>
      <c r="E191" s="47">
        <v>323</v>
      </c>
      <c r="F191" s="47">
        <v>341</v>
      </c>
      <c r="G191" s="47">
        <v>217</v>
      </c>
      <c r="H191" s="47">
        <v>235</v>
      </c>
      <c r="I191" s="45">
        <v>41.3</v>
      </c>
    </row>
    <row r="192" spans="2:9">
      <c r="B192" s="47">
        <v>436</v>
      </c>
      <c r="C192" s="47">
        <v>454</v>
      </c>
      <c r="D192" s="47">
        <v>326</v>
      </c>
      <c r="E192" s="47">
        <v>324</v>
      </c>
      <c r="F192" s="47">
        <v>343</v>
      </c>
      <c r="G192" s="47">
        <v>218</v>
      </c>
      <c r="H192" s="47">
        <v>236</v>
      </c>
      <c r="I192" s="45">
        <v>40.700000000000003</v>
      </c>
    </row>
    <row r="193" spans="2:9">
      <c r="B193" s="47">
        <v>437</v>
      </c>
      <c r="C193" s="47">
        <v>456</v>
      </c>
      <c r="D193" s="47">
        <v>327</v>
      </c>
      <c r="E193" s="47">
        <v>325</v>
      </c>
      <c r="F193" s="47">
        <v>344</v>
      </c>
      <c r="G193" s="47">
        <v>218</v>
      </c>
      <c r="H193" s="47">
        <v>238</v>
      </c>
      <c r="I193" s="45">
        <v>40.1</v>
      </c>
    </row>
    <row r="194" spans="2:9">
      <c r="B194" s="47">
        <v>438</v>
      </c>
      <c r="C194" s="47">
        <v>458</v>
      </c>
      <c r="D194" s="47">
        <v>328</v>
      </c>
      <c r="E194" s="47">
        <v>326</v>
      </c>
      <c r="F194" s="47">
        <v>345</v>
      </c>
      <c r="G194" s="47">
        <v>219</v>
      </c>
      <c r="H194" s="47">
        <v>239</v>
      </c>
      <c r="I194" s="45">
        <v>39.5</v>
      </c>
    </row>
    <row r="195" spans="2:9">
      <c r="B195" s="47">
        <v>439</v>
      </c>
      <c r="C195" s="47">
        <v>460</v>
      </c>
      <c r="D195" s="47">
        <v>329</v>
      </c>
      <c r="E195" s="47">
        <v>327</v>
      </c>
      <c r="F195" s="47">
        <v>347</v>
      </c>
      <c r="G195" s="47">
        <v>219</v>
      </c>
      <c r="H195" s="47">
        <v>240</v>
      </c>
      <c r="I195" s="45">
        <v>38.9</v>
      </c>
    </row>
    <row r="196" spans="2:9">
      <c r="B196" s="47">
        <v>440</v>
      </c>
      <c r="C196" s="47">
        <v>461</v>
      </c>
      <c r="D196" s="47">
        <v>329</v>
      </c>
      <c r="E196" s="49">
        <v>328</v>
      </c>
      <c r="F196" s="47">
        <v>348</v>
      </c>
      <c r="G196" s="47">
        <v>220</v>
      </c>
      <c r="H196" s="47">
        <v>241</v>
      </c>
      <c r="I196" s="45">
        <v>38.299999999999997</v>
      </c>
    </row>
    <row r="197" spans="2:9">
      <c r="B197" s="47">
        <v>441</v>
      </c>
      <c r="C197" s="47">
        <v>463</v>
      </c>
      <c r="D197" s="47">
        <v>330</v>
      </c>
      <c r="E197" s="47">
        <v>328</v>
      </c>
      <c r="F197" s="47">
        <v>350</v>
      </c>
      <c r="G197" s="47">
        <v>220</v>
      </c>
      <c r="H197" s="47">
        <v>243</v>
      </c>
      <c r="I197" s="45">
        <v>37.700000000000003</v>
      </c>
    </row>
    <row r="198" spans="2:9">
      <c r="B198" s="47">
        <v>442</v>
      </c>
      <c r="C198" s="47">
        <v>464</v>
      </c>
      <c r="D198" s="47">
        <v>331</v>
      </c>
      <c r="E198" s="47">
        <v>329</v>
      </c>
      <c r="F198" s="47">
        <v>350</v>
      </c>
      <c r="G198" s="49">
        <v>221</v>
      </c>
      <c r="H198" s="47">
        <v>244</v>
      </c>
      <c r="I198" s="45">
        <v>37.1</v>
      </c>
    </row>
    <row r="199" spans="2:9">
      <c r="B199" s="47">
        <v>443</v>
      </c>
      <c r="C199" s="47">
        <v>465</v>
      </c>
      <c r="D199" s="47">
        <v>331</v>
      </c>
      <c r="E199" s="47">
        <v>330</v>
      </c>
      <c r="F199" s="47">
        <v>352</v>
      </c>
      <c r="G199" s="47">
        <v>221</v>
      </c>
      <c r="H199" s="47">
        <v>245</v>
      </c>
      <c r="I199" s="45">
        <v>36.5</v>
      </c>
    </row>
    <row r="200" spans="2:9">
      <c r="B200" s="47">
        <v>444</v>
      </c>
      <c r="C200" s="47">
        <v>467</v>
      </c>
      <c r="D200" s="47">
        <v>332</v>
      </c>
      <c r="E200" s="47">
        <v>331</v>
      </c>
      <c r="F200" s="47">
        <v>353</v>
      </c>
      <c r="G200" s="49">
        <v>222</v>
      </c>
      <c r="H200" s="47">
        <v>246</v>
      </c>
      <c r="I200" s="45">
        <v>35.9</v>
      </c>
    </row>
    <row r="201" spans="2:9">
      <c r="B201" s="47">
        <v>445</v>
      </c>
      <c r="C201" s="47">
        <v>468</v>
      </c>
      <c r="D201" s="47">
        <v>333</v>
      </c>
      <c r="E201" s="47">
        <v>331</v>
      </c>
      <c r="F201" s="47">
        <v>355</v>
      </c>
      <c r="G201" s="47">
        <v>223</v>
      </c>
      <c r="H201" s="47">
        <v>247</v>
      </c>
      <c r="I201" s="45">
        <v>35.299999999999997</v>
      </c>
    </row>
    <row r="202" spans="2:9">
      <c r="B202" s="47">
        <v>446</v>
      </c>
      <c r="C202" s="47">
        <v>470</v>
      </c>
      <c r="D202" s="47">
        <v>334</v>
      </c>
      <c r="E202" s="47">
        <v>332</v>
      </c>
      <c r="F202" s="47">
        <v>356</v>
      </c>
      <c r="G202" s="49">
        <v>223</v>
      </c>
      <c r="H202" s="47">
        <v>248</v>
      </c>
      <c r="I202" s="45">
        <v>34.700000000000003</v>
      </c>
    </row>
    <row r="203" spans="2:9">
      <c r="B203" s="47">
        <v>447</v>
      </c>
      <c r="C203" s="47">
        <v>472</v>
      </c>
      <c r="D203" s="47">
        <v>334</v>
      </c>
      <c r="E203" s="47">
        <v>333</v>
      </c>
      <c r="F203" s="47">
        <v>358</v>
      </c>
      <c r="G203" s="49">
        <v>224</v>
      </c>
      <c r="H203" s="47">
        <v>249</v>
      </c>
      <c r="I203" s="45">
        <v>34.200000000000003</v>
      </c>
    </row>
    <row r="204" spans="2:9">
      <c r="B204" s="47">
        <v>448</v>
      </c>
      <c r="C204" s="47">
        <v>473</v>
      </c>
      <c r="D204" s="47">
        <v>335</v>
      </c>
      <c r="E204" s="47">
        <v>334</v>
      </c>
      <c r="F204" s="47">
        <v>360</v>
      </c>
      <c r="G204" s="47">
        <v>225</v>
      </c>
      <c r="H204" s="47">
        <v>251</v>
      </c>
      <c r="I204" s="45">
        <v>33.6</v>
      </c>
    </row>
    <row r="205" spans="2:9">
      <c r="B205" s="47">
        <v>449</v>
      </c>
      <c r="C205" s="47">
        <v>474</v>
      </c>
      <c r="D205" s="47">
        <v>336</v>
      </c>
      <c r="E205" s="47">
        <v>334</v>
      </c>
      <c r="F205" s="47">
        <v>361</v>
      </c>
      <c r="G205" s="49">
        <v>225</v>
      </c>
      <c r="H205" s="47">
        <v>252</v>
      </c>
      <c r="I205" s="45">
        <v>33</v>
      </c>
    </row>
    <row r="206" spans="2:9">
      <c r="B206" s="47">
        <v>450</v>
      </c>
      <c r="C206" s="47">
        <v>476</v>
      </c>
      <c r="D206" s="47">
        <v>337</v>
      </c>
      <c r="E206" s="47">
        <v>335</v>
      </c>
      <c r="F206" s="47">
        <v>362</v>
      </c>
      <c r="G206" s="47">
        <v>226</v>
      </c>
      <c r="H206" s="47">
        <v>253</v>
      </c>
      <c r="I206" s="45">
        <v>32.4</v>
      </c>
    </row>
    <row r="207" spans="2:9">
      <c r="B207" s="47">
        <v>451</v>
      </c>
      <c r="C207" s="47">
        <v>478</v>
      </c>
      <c r="D207" s="47">
        <v>337</v>
      </c>
      <c r="E207" s="47">
        <v>336</v>
      </c>
      <c r="F207" s="47">
        <v>364</v>
      </c>
      <c r="G207" s="47">
        <v>226</v>
      </c>
      <c r="H207" s="47">
        <v>255</v>
      </c>
      <c r="I207" s="45">
        <v>31.8</v>
      </c>
    </row>
    <row r="208" spans="2:9">
      <c r="B208" s="47">
        <v>452</v>
      </c>
      <c r="C208" s="47">
        <v>480</v>
      </c>
      <c r="D208" s="47">
        <v>338</v>
      </c>
      <c r="E208" s="47">
        <v>337</v>
      </c>
      <c r="F208" s="47">
        <v>366</v>
      </c>
      <c r="G208" s="47">
        <v>227</v>
      </c>
      <c r="H208" s="47">
        <v>255</v>
      </c>
      <c r="I208" s="45">
        <v>31.2</v>
      </c>
    </row>
    <row r="209" spans="2:9">
      <c r="B209" s="47">
        <v>453</v>
      </c>
      <c r="C209" s="47">
        <v>482</v>
      </c>
      <c r="D209" s="47">
        <v>339</v>
      </c>
      <c r="E209" s="47">
        <v>338</v>
      </c>
      <c r="F209" s="47">
        <v>368</v>
      </c>
      <c r="G209" s="47">
        <v>228</v>
      </c>
      <c r="H209" s="47">
        <v>257</v>
      </c>
      <c r="I209" s="45">
        <v>30.6</v>
      </c>
    </row>
    <row r="210" spans="2:9">
      <c r="B210" s="47">
        <v>454</v>
      </c>
      <c r="C210" s="47">
        <v>484</v>
      </c>
      <c r="D210" s="47">
        <v>339</v>
      </c>
      <c r="E210" s="49">
        <v>338</v>
      </c>
      <c r="F210" s="47">
        <v>369</v>
      </c>
      <c r="G210" s="47">
        <v>228</v>
      </c>
      <c r="H210" s="47">
        <v>259</v>
      </c>
      <c r="I210" s="45">
        <v>30.1</v>
      </c>
    </row>
    <row r="211" spans="2:9">
      <c r="B211" s="47">
        <v>455</v>
      </c>
      <c r="C211" s="47">
        <v>485</v>
      </c>
      <c r="D211" s="47">
        <v>340</v>
      </c>
      <c r="E211" s="47">
        <v>339</v>
      </c>
      <c r="F211" s="47">
        <v>370</v>
      </c>
      <c r="G211" s="47">
        <v>229</v>
      </c>
      <c r="H211" s="47">
        <v>260</v>
      </c>
      <c r="I211" s="45">
        <v>29.5</v>
      </c>
    </row>
    <row r="212" spans="2:9">
      <c r="B212" s="47">
        <v>456</v>
      </c>
      <c r="C212" s="47">
        <v>487</v>
      </c>
      <c r="D212" s="47">
        <v>341</v>
      </c>
      <c r="E212" s="47">
        <v>340</v>
      </c>
      <c r="F212" s="47">
        <v>372</v>
      </c>
      <c r="G212" s="47">
        <v>230</v>
      </c>
      <c r="H212" s="47">
        <v>261</v>
      </c>
      <c r="I212" s="45">
        <v>29</v>
      </c>
    </row>
    <row r="213" spans="2:9">
      <c r="B213" s="47">
        <v>457</v>
      </c>
      <c r="C213" s="47">
        <v>488</v>
      </c>
      <c r="D213" s="47">
        <v>342</v>
      </c>
      <c r="E213" s="47">
        <v>341</v>
      </c>
      <c r="F213" s="47">
        <v>373</v>
      </c>
      <c r="G213" s="47">
        <v>230</v>
      </c>
      <c r="H213" s="47">
        <v>262</v>
      </c>
      <c r="I213" s="45">
        <v>28.5</v>
      </c>
    </row>
    <row r="214" spans="2:9">
      <c r="B214" s="47">
        <v>458</v>
      </c>
      <c r="C214" s="47">
        <v>490</v>
      </c>
      <c r="D214" s="47">
        <v>343</v>
      </c>
      <c r="E214" s="47">
        <v>342</v>
      </c>
      <c r="F214" s="47">
        <v>374</v>
      </c>
      <c r="G214" s="47">
        <v>231</v>
      </c>
      <c r="H214" s="47">
        <v>263</v>
      </c>
      <c r="I214" s="45">
        <v>28</v>
      </c>
    </row>
    <row r="215" spans="2:9">
      <c r="B215" s="47">
        <v>459</v>
      </c>
      <c r="C215" s="47">
        <v>492</v>
      </c>
      <c r="D215" s="47">
        <v>344</v>
      </c>
      <c r="E215" s="49">
        <v>343</v>
      </c>
      <c r="F215" s="47">
        <v>376</v>
      </c>
      <c r="G215" s="49">
        <v>231</v>
      </c>
      <c r="H215" s="47">
        <v>264</v>
      </c>
      <c r="I215" s="45">
        <v>27.5</v>
      </c>
    </row>
    <row r="216" spans="2:9">
      <c r="B216" s="47">
        <v>460</v>
      </c>
      <c r="C216" s="47">
        <v>493</v>
      </c>
      <c r="D216" s="47">
        <v>344</v>
      </c>
      <c r="E216" s="47">
        <v>344</v>
      </c>
      <c r="F216" s="47">
        <v>377</v>
      </c>
      <c r="G216" s="47">
        <v>232</v>
      </c>
      <c r="H216" s="47">
        <v>265</v>
      </c>
      <c r="I216" s="45">
        <v>26.9</v>
      </c>
    </row>
    <row r="217" spans="2:9">
      <c r="B217" s="47">
        <v>461</v>
      </c>
      <c r="C217" s="47">
        <v>495</v>
      </c>
      <c r="D217" s="47">
        <v>345</v>
      </c>
      <c r="E217" s="47">
        <v>344</v>
      </c>
      <c r="F217" s="47">
        <v>378</v>
      </c>
      <c r="G217" s="47">
        <v>232</v>
      </c>
      <c r="H217" s="47">
        <v>266</v>
      </c>
      <c r="I217" s="45">
        <v>26.4</v>
      </c>
    </row>
    <row r="218" spans="2:9">
      <c r="B218" s="47">
        <v>462</v>
      </c>
      <c r="C218" s="47">
        <v>496</v>
      </c>
      <c r="D218" s="47">
        <v>346</v>
      </c>
      <c r="E218" s="47">
        <v>345</v>
      </c>
      <c r="F218" s="47">
        <v>379</v>
      </c>
      <c r="G218" s="47">
        <v>233</v>
      </c>
      <c r="H218" s="47">
        <v>267</v>
      </c>
      <c r="I218" s="45">
        <v>25.9</v>
      </c>
    </row>
    <row r="219" spans="2:9">
      <c r="B219" s="47">
        <v>463</v>
      </c>
      <c r="C219" s="47">
        <v>498</v>
      </c>
      <c r="D219" s="47">
        <v>346</v>
      </c>
      <c r="E219" s="47">
        <v>346</v>
      </c>
      <c r="F219" s="47">
        <v>381</v>
      </c>
      <c r="G219" s="47">
        <v>233</v>
      </c>
      <c r="H219" s="47">
        <v>268</v>
      </c>
      <c r="I219" s="45">
        <v>25.4</v>
      </c>
    </row>
    <row r="220" spans="2:9">
      <c r="B220" s="47">
        <v>464</v>
      </c>
      <c r="C220" s="47">
        <v>499</v>
      </c>
      <c r="D220" s="47">
        <v>347</v>
      </c>
      <c r="E220" s="47">
        <v>346</v>
      </c>
      <c r="F220" s="47">
        <v>382</v>
      </c>
      <c r="G220" s="47">
        <v>234</v>
      </c>
      <c r="H220" s="47">
        <v>269</v>
      </c>
      <c r="I220" s="45">
        <v>24.9</v>
      </c>
    </row>
    <row r="221" spans="2:9">
      <c r="B221" s="47">
        <v>465</v>
      </c>
      <c r="C221" s="47">
        <v>500</v>
      </c>
      <c r="D221" s="47">
        <v>348</v>
      </c>
      <c r="E221" s="47">
        <v>347</v>
      </c>
      <c r="F221" s="47">
        <v>383</v>
      </c>
      <c r="G221" s="47">
        <v>235</v>
      </c>
      <c r="H221" s="47">
        <v>270</v>
      </c>
      <c r="I221" s="45">
        <v>24.4</v>
      </c>
    </row>
    <row r="222" spans="2:9">
      <c r="B222" s="47">
        <v>466</v>
      </c>
      <c r="C222" s="47">
        <v>502</v>
      </c>
      <c r="D222" s="47">
        <v>349</v>
      </c>
      <c r="E222" s="47">
        <v>348</v>
      </c>
      <c r="F222" s="47">
        <v>384</v>
      </c>
      <c r="G222" s="47">
        <v>235</v>
      </c>
      <c r="H222" s="47">
        <v>272</v>
      </c>
      <c r="I222" s="45">
        <v>23.9</v>
      </c>
    </row>
    <row r="223" spans="2:9">
      <c r="B223" s="47">
        <v>467</v>
      </c>
      <c r="C223" s="47">
        <v>504</v>
      </c>
      <c r="D223" s="47">
        <v>349</v>
      </c>
      <c r="E223" s="47">
        <v>349</v>
      </c>
      <c r="F223" s="47">
        <v>386</v>
      </c>
      <c r="G223" s="47">
        <v>236</v>
      </c>
      <c r="H223" s="47">
        <v>273</v>
      </c>
      <c r="I223" s="45">
        <v>23.4</v>
      </c>
    </row>
    <row r="224" spans="2:9">
      <c r="B224" s="47">
        <v>468</v>
      </c>
      <c r="C224" s="47">
        <v>505</v>
      </c>
      <c r="D224" s="47">
        <v>350</v>
      </c>
      <c r="E224" s="47">
        <v>350</v>
      </c>
      <c r="F224" s="47">
        <v>387</v>
      </c>
      <c r="G224" s="47">
        <v>236</v>
      </c>
      <c r="H224" s="47">
        <v>274</v>
      </c>
      <c r="I224" s="45">
        <v>22.9</v>
      </c>
    </row>
    <row r="225" spans="2:9">
      <c r="B225" s="47">
        <v>469</v>
      </c>
      <c r="C225" s="47">
        <v>506</v>
      </c>
      <c r="D225" s="47">
        <v>351</v>
      </c>
      <c r="E225" s="47">
        <v>351</v>
      </c>
      <c r="F225" s="47">
        <v>388</v>
      </c>
      <c r="G225" s="47">
        <v>237</v>
      </c>
      <c r="H225" s="47">
        <v>275</v>
      </c>
      <c r="I225" s="45">
        <v>22.3</v>
      </c>
    </row>
    <row r="226" spans="2:9">
      <c r="B226" s="47">
        <v>470</v>
      </c>
      <c r="C226" s="47">
        <v>507</v>
      </c>
      <c r="D226" s="47">
        <v>351</v>
      </c>
      <c r="E226" s="47">
        <v>352</v>
      </c>
      <c r="F226" s="47">
        <v>389</v>
      </c>
      <c r="G226" s="47">
        <v>237</v>
      </c>
      <c r="H226" s="47">
        <v>275</v>
      </c>
      <c r="I226" s="45">
        <v>21.8</v>
      </c>
    </row>
    <row r="227" spans="2:9">
      <c r="B227" s="47">
        <v>471</v>
      </c>
      <c r="C227" s="47">
        <v>508</v>
      </c>
      <c r="D227" s="47">
        <v>352</v>
      </c>
      <c r="E227" s="47">
        <v>352</v>
      </c>
      <c r="F227" s="47">
        <v>390</v>
      </c>
      <c r="G227" s="47">
        <v>238</v>
      </c>
      <c r="H227" s="47">
        <v>276</v>
      </c>
      <c r="I227" s="45">
        <v>21.3</v>
      </c>
    </row>
    <row r="228" spans="2:9">
      <c r="B228" s="47">
        <v>472</v>
      </c>
      <c r="C228" s="47">
        <v>510</v>
      </c>
      <c r="D228" s="47">
        <v>352</v>
      </c>
      <c r="E228" s="47">
        <v>353</v>
      </c>
      <c r="F228" s="47">
        <v>392</v>
      </c>
      <c r="G228" s="47">
        <v>238</v>
      </c>
      <c r="H228" s="47">
        <v>278</v>
      </c>
      <c r="I228" s="45">
        <v>20.8</v>
      </c>
    </row>
    <row r="229" spans="2:9">
      <c r="B229" s="47">
        <v>473</v>
      </c>
      <c r="C229" s="47">
        <v>511</v>
      </c>
      <c r="D229" s="47">
        <v>353</v>
      </c>
      <c r="E229" s="47">
        <v>354</v>
      </c>
      <c r="F229" s="47">
        <v>393</v>
      </c>
      <c r="G229" s="47">
        <v>239</v>
      </c>
      <c r="H229" s="47">
        <v>278</v>
      </c>
      <c r="I229" s="45">
        <v>20.3</v>
      </c>
    </row>
    <row r="230" spans="2:9">
      <c r="B230" s="47">
        <v>474</v>
      </c>
      <c r="C230" s="47">
        <v>514</v>
      </c>
      <c r="D230" s="47">
        <v>354</v>
      </c>
      <c r="E230" s="47">
        <v>355</v>
      </c>
      <c r="F230" s="47">
        <v>395</v>
      </c>
      <c r="G230" s="47">
        <v>239</v>
      </c>
      <c r="H230" s="47">
        <v>280</v>
      </c>
      <c r="I230" s="45">
        <v>19.8</v>
      </c>
    </row>
    <row r="231" spans="2:9">
      <c r="B231" s="47">
        <v>475</v>
      </c>
      <c r="C231" s="47">
        <v>515</v>
      </c>
      <c r="D231" s="47">
        <v>355</v>
      </c>
      <c r="E231" s="47">
        <v>356</v>
      </c>
      <c r="F231" s="47">
        <v>396</v>
      </c>
      <c r="G231" s="47">
        <v>240</v>
      </c>
      <c r="H231" s="47">
        <v>281</v>
      </c>
      <c r="I231" s="45">
        <v>19.3</v>
      </c>
    </row>
    <row r="232" spans="2:9">
      <c r="B232" s="47">
        <v>476</v>
      </c>
      <c r="C232" s="47">
        <v>516</v>
      </c>
      <c r="D232" s="47">
        <v>356</v>
      </c>
      <c r="E232" s="47">
        <v>356</v>
      </c>
      <c r="F232" s="47">
        <v>397</v>
      </c>
      <c r="G232" s="47">
        <v>241</v>
      </c>
      <c r="H232" s="47">
        <v>282</v>
      </c>
      <c r="I232" s="45">
        <v>18.7</v>
      </c>
    </row>
    <row r="233" spans="2:9">
      <c r="B233" s="47">
        <v>477</v>
      </c>
      <c r="C233" s="47">
        <v>518</v>
      </c>
      <c r="D233" s="47">
        <v>356</v>
      </c>
      <c r="E233" s="47">
        <v>357</v>
      </c>
      <c r="F233" s="47">
        <v>398</v>
      </c>
      <c r="G233" s="47">
        <v>241</v>
      </c>
      <c r="H233" s="47">
        <v>283</v>
      </c>
      <c r="I233" s="45">
        <v>18.2</v>
      </c>
    </row>
    <row r="234" spans="2:9">
      <c r="B234" s="47">
        <v>478</v>
      </c>
      <c r="C234" s="47">
        <v>519</v>
      </c>
      <c r="D234" s="47">
        <v>357</v>
      </c>
      <c r="E234" s="47">
        <v>358</v>
      </c>
      <c r="F234" s="47">
        <v>400</v>
      </c>
      <c r="G234" s="47">
        <v>241</v>
      </c>
      <c r="H234" s="47">
        <v>284</v>
      </c>
      <c r="I234" s="45">
        <v>17.7</v>
      </c>
    </row>
    <row r="235" spans="2:9">
      <c r="B235" s="47">
        <v>479</v>
      </c>
      <c r="C235" s="47">
        <v>521</v>
      </c>
      <c r="D235" s="47">
        <v>358</v>
      </c>
      <c r="E235" s="47">
        <v>359</v>
      </c>
      <c r="F235" s="47">
        <v>401</v>
      </c>
      <c r="G235" s="47">
        <v>242</v>
      </c>
      <c r="H235" s="47">
        <v>285</v>
      </c>
      <c r="I235" s="45">
        <v>17.2</v>
      </c>
    </row>
    <row r="236" spans="2:9">
      <c r="B236" s="47">
        <v>480</v>
      </c>
      <c r="C236" s="47">
        <v>522</v>
      </c>
      <c r="D236" s="47">
        <v>359</v>
      </c>
      <c r="E236" s="47">
        <v>360</v>
      </c>
      <c r="F236" s="47">
        <v>402</v>
      </c>
      <c r="G236" s="47">
        <v>243</v>
      </c>
      <c r="H236" s="47">
        <v>286</v>
      </c>
      <c r="I236" s="45">
        <v>16.7</v>
      </c>
    </row>
    <row r="237" spans="2:9">
      <c r="B237" s="47">
        <v>481</v>
      </c>
      <c r="C237" s="47">
        <v>523</v>
      </c>
      <c r="D237" s="47">
        <v>359</v>
      </c>
      <c r="E237" s="47">
        <v>360</v>
      </c>
      <c r="F237" s="47">
        <v>403</v>
      </c>
      <c r="G237" s="47">
        <v>243</v>
      </c>
      <c r="H237" s="47">
        <v>287</v>
      </c>
      <c r="I237" s="45">
        <v>16.2</v>
      </c>
    </row>
    <row r="238" spans="2:9">
      <c r="B238" s="47">
        <v>482</v>
      </c>
      <c r="C238" s="47">
        <v>524</v>
      </c>
      <c r="D238" s="47">
        <v>360</v>
      </c>
      <c r="E238" s="47">
        <v>361</v>
      </c>
      <c r="F238" s="47">
        <v>405</v>
      </c>
      <c r="G238" s="47">
        <v>244</v>
      </c>
      <c r="H238" s="47">
        <v>288</v>
      </c>
      <c r="I238" s="45">
        <v>15.8</v>
      </c>
    </row>
    <row r="239" spans="2:9">
      <c r="B239" s="47">
        <v>483</v>
      </c>
      <c r="C239" s="47">
        <v>526</v>
      </c>
      <c r="D239" s="47">
        <v>361</v>
      </c>
      <c r="E239" s="49">
        <v>362</v>
      </c>
      <c r="F239" s="47">
        <v>406</v>
      </c>
      <c r="G239" s="47">
        <v>244</v>
      </c>
      <c r="H239" s="47">
        <v>289</v>
      </c>
      <c r="I239" s="45">
        <v>15.3</v>
      </c>
    </row>
    <row r="240" spans="2:9">
      <c r="B240" s="47">
        <v>484</v>
      </c>
      <c r="C240" s="47">
        <v>527</v>
      </c>
      <c r="D240" s="47">
        <v>362</v>
      </c>
      <c r="E240" s="47">
        <v>362</v>
      </c>
      <c r="F240" s="47">
        <v>407</v>
      </c>
      <c r="G240" s="47">
        <v>245</v>
      </c>
      <c r="H240" s="47">
        <v>290</v>
      </c>
      <c r="I240" s="45">
        <v>14.8</v>
      </c>
    </row>
    <row r="241" spans="2:9">
      <c r="B241" s="47">
        <v>485</v>
      </c>
      <c r="C241" s="47">
        <v>529</v>
      </c>
      <c r="D241" s="47">
        <v>363</v>
      </c>
      <c r="E241" s="47">
        <v>363</v>
      </c>
      <c r="F241" s="47">
        <v>408</v>
      </c>
      <c r="G241" s="47">
        <v>245</v>
      </c>
      <c r="H241" s="47">
        <v>291</v>
      </c>
      <c r="I241" s="45">
        <v>14.3</v>
      </c>
    </row>
    <row r="242" spans="2:9">
      <c r="B242" s="47">
        <v>486</v>
      </c>
      <c r="C242" s="47">
        <v>531</v>
      </c>
      <c r="D242" s="47">
        <v>364</v>
      </c>
      <c r="E242" s="47">
        <v>364</v>
      </c>
      <c r="F242" s="47">
        <v>410</v>
      </c>
      <c r="G242" s="47">
        <v>246</v>
      </c>
      <c r="H242" s="47">
        <v>292</v>
      </c>
      <c r="I242" s="45">
        <v>13.8</v>
      </c>
    </row>
    <row r="243" spans="2:9">
      <c r="B243" s="47">
        <v>487</v>
      </c>
      <c r="C243" s="47">
        <v>532</v>
      </c>
      <c r="D243" s="47">
        <v>364</v>
      </c>
      <c r="E243" s="47">
        <v>365</v>
      </c>
      <c r="F243" s="47">
        <v>411</v>
      </c>
      <c r="G243" s="47">
        <v>247</v>
      </c>
      <c r="H243" s="47">
        <v>293</v>
      </c>
      <c r="I243" s="45">
        <v>13.4</v>
      </c>
    </row>
    <row r="244" spans="2:9">
      <c r="B244" s="47">
        <v>488</v>
      </c>
      <c r="C244" s="47">
        <v>533</v>
      </c>
      <c r="D244" s="47">
        <v>365</v>
      </c>
      <c r="E244" s="47">
        <v>366</v>
      </c>
      <c r="F244" s="47">
        <v>412</v>
      </c>
      <c r="G244" s="47">
        <v>247</v>
      </c>
      <c r="H244" s="47">
        <v>294</v>
      </c>
      <c r="I244" s="45">
        <v>12.9</v>
      </c>
    </row>
    <row r="245" spans="2:9">
      <c r="B245" s="47">
        <v>489</v>
      </c>
      <c r="C245" s="47">
        <v>535</v>
      </c>
      <c r="D245" s="47">
        <v>366</v>
      </c>
      <c r="E245" s="47">
        <v>367</v>
      </c>
      <c r="F245" s="47">
        <v>413</v>
      </c>
      <c r="G245" s="47">
        <v>248</v>
      </c>
      <c r="H245" s="47">
        <v>295</v>
      </c>
      <c r="I245" s="45">
        <v>12.4</v>
      </c>
    </row>
    <row r="246" spans="2:9">
      <c r="B246" s="47">
        <v>490</v>
      </c>
      <c r="C246" s="47">
        <v>537</v>
      </c>
      <c r="D246" s="47">
        <v>367</v>
      </c>
      <c r="E246" s="47">
        <v>368</v>
      </c>
      <c r="F246" s="47">
        <v>415</v>
      </c>
      <c r="G246" s="47">
        <v>248</v>
      </c>
      <c r="H246" s="47">
        <v>297</v>
      </c>
      <c r="I246" s="45">
        <v>11.9</v>
      </c>
    </row>
    <row r="247" spans="2:9">
      <c r="B247" s="47">
        <v>491</v>
      </c>
      <c r="C247" s="47">
        <v>538</v>
      </c>
      <c r="D247" s="47">
        <v>367</v>
      </c>
      <c r="E247" s="47">
        <v>368</v>
      </c>
      <c r="F247" s="47">
        <v>415</v>
      </c>
      <c r="G247" s="47">
        <v>249</v>
      </c>
      <c r="H247" s="47">
        <v>298</v>
      </c>
      <c r="I247" s="45">
        <v>11.5</v>
      </c>
    </row>
    <row r="248" spans="2:9">
      <c r="B248" s="47">
        <v>492</v>
      </c>
      <c r="C248" s="47">
        <v>539</v>
      </c>
      <c r="D248" s="47">
        <v>368</v>
      </c>
      <c r="E248" s="47">
        <v>369</v>
      </c>
      <c r="F248" s="47">
        <v>417</v>
      </c>
      <c r="G248" s="47">
        <v>249</v>
      </c>
      <c r="H248" s="47">
        <v>299</v>
      </c>
      <c r="I248" s="45">
        <v>11.1</v>
      </c>
    </row>
    <row r="249" spans="2:9">
      <c r="B249" s="47">
        <v>493</v>
      </c>
      <c r="C249" s="47">
        <v>540</v>
      </c>
      <c r="D249" s="47">
        <v>369</v>
      </c>
      <c r="E249" s="47">
        <v>370</v>
      </c>
      <c r="F249" s="47">
        <v>418</v>
      </c>
      <c r="G249" s="47">
        <v>250</v>
      </c>
      <c r="H249" s="47">
        <v>300</v>
      </c>
      <c r="I249" s="45">
        <v>10.7</v>
      </c>
    </row>
    <row r="250" spans="2:9">
      <c r="B250" s="47">
        <v>494</v>
      </c>
      <c r="C250" s="47">
        <v>542</v>
      </c>
      <c r="D250" s="47">
        <v>369</v>
      </c>
      <c r="E250" s="47">
        <v>371</v>
      </c>
      <c r="F250" s="47">
        <v>420</v>
      </c>
      <c r="G250" s="47">
        <v>250</v>
      </c>
      <c r="H250" s="47">
        <v>301</v>
      </c>
      <c r="I250" s="45">
        <v>10.4</v>
      </c>
    </row>
    <row r="251" spans="2:9">
      <c r="B251" s="47">
        <v>495</v>
      </c>
      <c r="C251" s="47">
        <v>543</v>
      </c>
      <c r="D251" s="47">
        <v>370</v>
      </c>
      <c r="E251" s="47">
        <v>372</v>
      </c>
      <c r="F251" s="47">
        <v>421</v>
      </c>
      <c r="G251" s="47">
        <v>251</v>
      </c>
      <c r="H251" s="47">
        <v>302</v>
      </c>
      <c r="I251" s="45">
        <v>10</v>
      </c>
    </row>
    <row r="252" spans="2:9">
      <c r="B252" s="47">
        <v>496</v>
      </c>
      <c r="C252" s="47">
        <v>545</v>
      </c>
      <c r="D252" s="47">
        <v>371</v>
      </c>
      <c r="F252" s="47">
        <v>422</v>
      </c>
      <c r="G252" s="47">
        <v>251</v>
      </c>
      <c r="H252" s="47">
        <v>302</v>
      </c>
      <c r="I252" s="45">
        <v>9.6</v>
      </c>
    </row>
    <row r="253" spans="2:9">
      <c r="B253" s="47">
        <v>497</v>
      </c>
      <c r="C253" s="47">
        <v>547</v>
      </c>
      <c r="D253" s="47">
        <v>372</v>
      </c>
      <c r="E253" s="47">
        <v>373</v>
      </c>
      <c r="F253" s="47">
        <v>423</v>
      </c>
      <c r="G253" s="47">
        <v>252</v>
      </c>
      <c r="H253" s="47">
        <v>303</v>
      </c>
      <c r="I253" s="45">
        <v>9.1999999999999993</v>
      </c>
    </row>
    <row r="254" spans="2:9">
      <c r="B254" s="47">
        <v>498</v>
      </c>
      <c r="C254" s="47">
        <v>548</v>
      </c>
      <c r="D254" s="47"/>
      <c r="E254" s="47">
        <v>374</v>
      </c>
      <c r="F254" s="47">
        <v>425</v>
      </c>
      <c r="G254" s="47">
        <v>253</v>
      </c>
      <c r="H254" s="47">
        <v>304</v>
      </c>
      <c r="I254" s="45">
        <v>8.9</v>
      </c>
    </row>
    <row r="255" spans="2:9">
      <c r="B255" s="47">
        <v>499</v>
      </c>
      <c r="C255" s="47">
        <v>549</v>
      </c>
      <c r="D255" s="47">
        <v>373</v>
      </c>
      <c r="E255" s="47">
        <v>375</v>
      </c>
      <c r="F255" s="47">
        <v>426</v>
      </c>
      <c r="G255" s="47">
        <v>253</v>
      </c>
      <c r="H255" s="47">
        <v>305</v>
      </c>
      <c r="I255" s="45">
        <v>8.6</v>
      </c>
    </row>
    <row r="256" spans="2:9">
      <c r="B256" s="47">
        <v>500</v>
      </c>
      <c r="C256" s="47">
        <v>551</v>
      </c>
      <c r="D256" s="47">
        <v>374</v>
      </c>
      <c r="E256" s="47">
        <v>376</v>
      </c>
      <c r="F256" s="47">
        <v>427</v>
      </c>
      <c r="G256" s="47">
        <v>254</v>
      </c>
      <c r="H256" s="47">
        <v>306</v>
      </c>
      <c r="I256" s="45">
        <v>8.1999999999999993</v>
      </c>
    </row>
    <row r="257" spans="2:9">
      <c r="B257" s="47">
        <v>501</v>
      </c>
      <c r="C257" s="47">
        <v>552</v>
      </c>
      <c r="D257" s="47">
        <v>375</v>
      </c>
      <c r="F257" s="47">
        <v>428</v>
      </c>
      <c r="H257" s="47">
        <v>307</v>
      </c>
      <c r="I257" s="45">
        <v>7.9</v>
      </c>
    </row>
    <row r="258" spans="2:9">
      <c r="B258" s="47">
        <v>502</v>
      </c>
      <c r="C258" s="47">
        <v>553</v>
      </c>
      <c r="D258" s="47"/>
      <c r="E258" s="47">
        <v>377</v>
      </c>
      <c r="F258" s="47">
        <v>429</v>
      </c>
      <c r="G258" s="47">
        <v>255</v>
      </c>
      <c r="H258" s="47">
        <v>308</v>
      </c>
      <c r="I258" s="45">
        <v>7.5</v>
      </c>
    </row>
    <row r="259" spans="2:9">
      <c r="B259" s="47">
        <v>503</v>
      </c>
      <c r="C259" s="47">
        <v>555</v>
      </c>
      <c r="D259" s="47">
        <v>376</v>
      </c>
      <c r="E259" s="47">
        <v>378</v>
      </c>
      <c r="F259" s="47">
        <v>431</v>
      </c>
      <c r="H259" s="47"/>
      <c r="I259" s="45">
        <v>7.1</v>
      </c>
    </row>
    <row r="260" spans="2:9">
      <c r="B260" s="47">
        <v>504</v>
      </c>
      <c r="C260" s="47">
        <v>556</v>
      </c>
      <c r="D260" s="47">
        <v>377</v>
      </c>
      <c r="E260" s="49">
        <v>379</v>
      </c>
      <c r="F260" s="47">
        <v>432</v>
      </c>
      <c r="G260" s="47">
        <v>256</v>
      </c>
      <c r="H260" s="47">
        <v>309</v>
      </c>
      <c r="I260" s="45">
        <v>6.8</v>
      </c>
    </row>
    <row r="261" spans="2:9">
      <c r="B261" s="47">
        <v>505</v>
      </c>
      <c r="C261" s="47">
        <v>558</v>
      </c>
      <c r="D261" s="47">
        <v>378</v>
      </c>
      <c r="E261" s="47">
        <v>380</v>
      </c>
      <c r="F261" s="47">
        <v>433</v>
      </c>
      <c r="G261" s="47">
        <v>257</v>
      </c>
      <c r="H261" s="47">
        <v>310</v>
      </c>
      <c r="I261" s="45">
        <v>6.4</v>
      </c>
    </row>
    <row r="262" spans="2:9">
      <c r="B262" s="47">
        <v>506</v>
      </c>
      <c r="C262" s="47">
        <v>559</v>
      </c>
      <c r="D262" s="47"/>
      <c r="F262" s="47">
        <v>434</v>
      </c>
      <c r="H262" s="47">
        <v>311</v>
      </c>
      <c r="I262" s="45">
        <v>6</v>
      </c>
    </row>
    <row r="263" spans="2:9">
      <c r="B263" s="47">
        <v>507</v>
      </c>
      <c r="C263" s="47">
        <v>560</v>
      </c>
      <c r="D263" s="47">
        <v>380</v>
      </c>
      <c r="E263" s="47">
        <v>381</v>
      </c>
      <c r="F263" s="47">
        <v>435</v>
      </c>
      <c r="G263" s="49">
        <v>258</v>
      </c>
      <c r="H263" s="47">
        <v>312</v>
      </c>
      <c r="I263" s="45">
        <v>5.7</v>
      </c>
    </row>
    <row r="264" spans="2:9">
      <c r="B264" s="47">
        <v>508</v>
      </c>
      <c r="C264" s="47">
        <v>561</v>
      </c>
      <c r="D264" s="47"/>
      <c r="E264" s="47">
        <v>382</v>
      </c>
      <c r="F264" s="47">
        <v>436</v>
      </c>
      <c r="H264" s="47">
        <v>313</v>
      </c>
      <c r="I264" s="45">
        <v>5.4</v>
      </c>
    </row>
    <row r="265" spans="2:9">
      <c r="B265" s="47">
        <v>509</v>
      </c>
      <c r="C265" s="47">
        <v>563</v>
      </c>
      <c r="D265" s="47">
        <v>381</v>
      </c>
      <c r="E265" s="47">
        <v>383</v>
      </c>
      <c r="F265" s="47">
        <v>438</v>
      </c>
      <c r="G265" s="47">
        <v>259</v>
      </c>
      <c r="H265" s="47">
        <v>314</v>
      </c>
      <c r="I265" s="45">
        <v>5.0999999999999996</v>
      </c>
    </row>
    <row r="266" spans="2:9">
      <c r="B266" s="47">
        <v>510</v>
      </c>
      <c r="C266" s="47">
        <v>564</v>
      </c>
      <c r="D266" s="47">
        <v>382</v>
      </c>
      <c r="E266" s="49">
        <v>384</v>
      </c>
      <c r="F266" s="47">
        <v>439</v>
      </c>
      <c r="H266" s="47">
        <v>315</v>
      </c>
      <c r="I266" s="45">
        <v>4.8</v>
      </c>
    </row>
    <row r="267" spans="2:9">
      <c r="B267" s="47">
        <v>511</v>
      </c>
      <c r="C267" s="47">
        <v>565</v>
      </c>
      <c r="D267" s="47">
        <v>383</v>
      </c>
      <c r="F267" s="47">
        <v>440</v>
      </c>
      <c r="G267" s="47">
        <v>260</v>
      </c>
      <c r="H267" s="47">
        <v>317</v>
      </c>
      <c r="I267" s="45">
        <v>4.5</v>
      </c>
    </row>
    <row r="268" spans="2:9">
      <c r="B268" s="47">
        <v>512</v>
      </c>
      <c r="C268" s="47">
        <v>567</v>
      </c>
      <c r="D268" s="47">
        <v>384</v>
      </c>
      <c r="E268" s="47">
        <v>385</v>
      </c>
      <c r="F268" s="47">
        <v>441</v>
      </c>
      <c r="H268" s="47">
        <v>318</v>
      </c>
      <c r="I268" s="45">
        <v>4.2</v>
      </c>
    </row>
    <row r="269" spans="2:9">
      <c r="B269" s="47">
        <v>513</v>
      </c>
      <c r="C269" s="47">
        <v>568</v>
      </c>
      <c r="D269" s="47"/>
      <c r="E269" s="47">
        <v>386</v>
      </c>
      <c r="F269" s="47">
        <v>442</v>
      </c>
      <c r="G269" s="47">
        <v>261</v>
      </c>
      <c r="H269" s="47"/>
      <c r="I269" s="45">
        <v>3.9</v>
      </c>
    </row>
    <row r="270" spans="2:9">
      <c r="B270" s="47">
        <v>514</v>
      </c>
      <c r="C270" s="47">
        <v>568</v>
      </c>
      <c r="D270" s="47">
        <v>385</v>
      </c>
      <c r="E270" s="49"/>
      <c r="F270" s="47">
        <v>443</v>
      </c>
      <c r="H270" s="47"/>
      <c r="I270" s="45">
        <v>3.7</v>
      </c>
    </row>
    <row r="271" spans="2:9">
      <c r="B271" s="47">
        <v>515</v>
      </c>
      <c r="C271" s="47">
        <v>569</v>
      </c>
      <c r="D271" s="47">
        <v>386</v>
      </c>
      <c r="E271" s="47">
        <v>387</v>
      </c>
      <c r="F271" s="47">
        <v>444</v>
      </c>
      <c r="G271" s="47">
        <v>262</v>
      </c>
      <c r="H271" s="47">
        <v>319</v>
      </c>
      <c r="I271" s="45">
        <v>3.5</v>
      </c>
    </row>
    <row r="272" spans="2:9">
      <c r="B272" s="47">
        <v>516</v>
      </c>
      <c r="C272" s="47">
        <v>571</v>
      </c>
      <c r="D272" s="47"/>
      <c r="E272" s="47">
        <v>388</v>
      </c>
      <c r="F272" s="47">
        <v>445</v>
      </c>
      <c r="H272" s="47"/>
      <c r="I272" s="45">
        <v>3.3</v>
      </c>
    </row>
    <row r="273" spans="2:9">
      <c r="B273" s="47">
        <v>517</v>
      </c>
      <c r="C273" s="47">
        <v>573</v>
      </c>
      <c r="D273" s="47">
        <v>387</v>
      </c>
      <c r="F273" s="47">
        <v>446</v>
      </c>
      <c r="G273" s="47">
        <v>263</v>
      </c>
      <c r="H273" s="47">
        <v>320</v>
      </c>
      <c r="I273" s="45">
        <v>3</v>
      </c>
    </row>
    <row r="274" spans="2:9">
      <c r="B274" s="47">
        <v>518</v>
      </c>
      <c r="C274" s="47">
        <v>574</v>
      </c>
      <c r="D274" s="47">
        <v>388</v>
      </c>
      <c r="E274" s="47">
        <v>390</v>
      </c>
      <c r="F274" s="47">
        <v>447</v>
      </c>
      <c r="H274" s="47">
        <v>321</v>
      </c>
      <c r="I274" s="45">
        <v>2.8</v>
      </c>
    </row>
    <row r="275" spans="2:9">
      <c r="B275" s="47">
        <v>519</v>
      </c>
      <c r="C275" s="47">
        <v>575</v>
      </c>
      <c r="D275" s="47">
        <v>389</v>
      </c>
      <c r="E275" s="47">
        <v>391</v>
      </c>
      <c r="F275" s="47">
        <v>448</v>
      </c>
      <c r="G275" s="47">
        <v>264</v>
      </c>
      <c r="H275" s="47">
        <v>322</v>
      </c>
      <c r="I275" s="45">
        <v>2.6</v>
      </c>
    </row>
    <row r="276" spans="2:9">
      <c r="B276" s="47">
        <v>520</v>
      </c>
      <c r="C276" s="47">
        <v>577</v>
      </c>
      <c r="D276" s="47">
        <v>390</v>
      </c>
      <c r="E276" s="47">
        <v>392</v>
      </c>
      <c r="F276" s="47">
        <v>449</v>
      </c>
      <c r="G276" s="47">
        <v>265</v>
      </c>
      <c r="H276" s="47">
        <v>323</v>
      </c>
      <c r="I276" s="45">
        <v>2.4</v>
      </c>
    </row>
    <row r="277" spans="2:9">
      <c r="B277" s="47">
        <v>521</v>
      </c>
      <c r="C277" s="47">
        <v>578</v>
      </c>
      <c r="D277" s="47">
        <v>391</v>
      </c>
      <c r="E277" s="47">
        <v>392</v>
      </c>
      <c r="F277" s="47">
        <v>450</v>
      </c>
      <c r="H277" s="47">
        <v>324</v>
      </c>
      <c r="I277" s="45">
        <v>2.2000000000000002</v>
      </c>
    </row>
    <row r="278" spans="2:9">
      <c r="B278" s="47">
        <v>522</v>
      </c>
      <c r="C278" s="47">
        <v>579</v>
      </c>
      <c r="D278" s="47">
        <v>392</v>
      </c>
      <c r="E278" s="47">
        <v>393</v>
      </c>
      <c r="F278" s="47">
        <v>451</v>
      </c>
      <c r="G278" s="47">
        <v>266</v>
      </c>
      <c r="H278" s="47">
        <v>324</v>
      </c>
      <c r="I278" s="45">
        <v>2</v>
      </c>
    </row>
    <row r="279" spans="2:9">
      <c r="B279" s="47">
        <v>523</v>
      </c>
      <c r="C279" s="47">
        <v>581</v>
      </c>
      <c r="D279" s="47">
        <v>393</v>
      </c>
      <c r="E279" s="47">
        <v>394</v>
      </c>
      <c r="F279" s="47">
        <v>452</v>
      </c>
      <c r="G279" s="47">
        <v>267</v>
      </c>
      <c r="H279" s="47">
        <v>325</v>
      </c>
      <c r="I279" s="45">
        <v>1.8</v>
      </c>
    </row>
    <row r="280" spans="2:9">
      <c r="B280" s="47">
        <v>524</v>
      </c>
      <c r="C280" s="47">
        <v>582</v>
      </c>
      <c r="D280" s="47">
        <v>394</v>
      </c>
      <c r="E280" s="47">
        <v>395</v>
      </c>
      <c r="F280" s="47">
        <v>453</v>
      </c>
      <c r="H280" s="47">
        <v>326</v>
      </c>
      <c r="I280" s="45">
        <v>1.6</v>
      </c>
    </row>
    <row r="281" spans="2:9">
      <c r="B281" s="47">
        <v>525</v>
      </c>
      <c r="C281" s="47">
        <v>583</v>
      </c>
      <c r="D281" s="47"/>
      <c r="E281" s="47">
        <v>396</v>
      </c>
      <c r="F281" s="47">
        <v>454</v>
      </c>
      <c r="G281" s="47">
        <v>268</v>
      </c>
      <c r="H281" s="47">
        <v>327</v>
      </c>
      <c r="I281" s="45">
        <v>1.5</v>
      </c>
    </row>
    <row r="282" spans="2:9">
      <c r="B282" s="47">
        <v>526</v>
      </c>
      <c r="C282" s="47">
        <v>584</v>
      </c>
      <c r="D282" s="47">
        <v>395</v>
      </c>
      <c r="E282" s="47">
        <v>396</v>
      </c>
      <c r="F282" s="47">
        <v>455</v>
      </c>
      <c r="H282" s="47">
        <v>328</v>
      </c>
      <c r="I282" s="45">
        <v>1.3</v>
      </c>
    </row>
    <row r="283" spans="2:9">
      <c r="B283" s="47">
        <v>527</v>
      </c>
      <c r="C283" s="47">
        <v>585</v>
      </c>
      <c r="D283" s="47"/>
      <c r="E283" s="47">
        <v>397</v>
      </c>
      <c r="F283" s="47">
        <v>456</v>
      </c>
      <c r="G283" s="47">
        <v>269</v>
      </c>
      <c r="H283" s="47"/>
      <c r="I283" s="45">
        <v>1.2</v>
      </c>
    </row>
    <row r="284" spans="2:9">
      <c r="B284" s="47">
        <v>528</v>
      </c>
      <c r="C284" s="47">
        <v>586</v>
      </c>
      <c r="D284" s="47">
        <v>396</v>
      </c>
      <c r="E284" s="47">
        <v>398</v>
      </c>
      <c r="F284" s="47">
        <v>457</v>
      </c>
      <c r="G284" s="49"/>
      <c r="H284" s="47">
        <v>329</v>
      </c>
      <c r="I284" s="45">
        <v>1</v>
      </c>
    </row>
    <row r="285" spans="2:9">
      <c r="B285" s="47">
        <v>529</v>
      </c>
      <c r="C285" s="47">
        <v>588</v>
      </c>
      <c r="D285" s="47">
        <v>397</v>
      </c>
      <c r="E285" s="47">
        <v>399</v>
      </c>
      <c r="F285" s="47">
        <v>459</v>
      </c>
      <c r="G285" s="47">
        <v>270</v>
      </c>
      <c r="H285" s="47">
        <v>330</v>
      </c>
      <c r="I285" s="45">
        <v>0.8</v>
      </c>
    </row>
    <row r="286" spans="2:9">
      <c r="B286" s="47">
        <v>530</v>
      </c>
      <c r="C286" s="47"/>
      <c r="D286" s="47"/>
      <c r="E286" s="47">
        <v>400</v>
      </c>
      <c r="F286" s="47">
        <v>459</v>
      </c>
      <c r="G286" s="47">
        <v>271</v>
      </c>
      <c r="H286" s="47">
        <v>331</v>
      </c>
      <c r="I286" s="45">
        <v>0.7</v>
      </c>
    </row>
    <row r="287" spans="2:9">
      <c r="B287" s="47">
        <v>531</v>
      </c>
      <c r="C287" s="47">
        <v>589</v>
      </c>
      <c r="D287" s="47"/>
      <c r="E287" s="47">
        <v>401</v>
      </c>
      <c r="F287" s="47">
        <v>460</v>
      </c>
      <c r="H287" s="47"/>
      <c r="I287" s="45">
        <v>0.6</v>
      </c>
    </row>
    <row r="288" spans="2:9">
      <c r="B288" s="47">
        <v>532</v>
      </c>
      <c r="C288" s="47">
        <v>590</v>
      </c>
      <c r="D288" s="47">
        <v>398</v>
      </c>
      <c r="E288" s="47">
        <v>402</v>
      </c>
      <c r="F288" s="47">
        <v>461</v>
      </c>
      <c r="G288" s="47">
        <v>272</v>
      </c>
      <c r="H288" s="47">
        <v>332</v>
      </c>
      <c r="I288" s="45">
        <v>0.5</v>
      </c>
    </row>
    <row r="289" spans="2:9">
      <c r="B289" s="47">
        <v>533</v>
      </c>
      <c r="C289" s="47">
        <v>592</v>
      </c>
      <c r="D289" s="47">
        <v>400</v>
      </c>
      <c r="E289" s="47">
        <v>404</v>
      </c>
      <c r="F289" s="47">
        <v>464</v>
      </c>
      <c r="G289" s="47">
        <v>273</v>
      </c>
      <c r="H289" s="47">
        <v>333</v>
      </c>
      <c r="I289" s="45">
        <v>0.4</v>
      </c>
    </row>
    <row r="290" spans="2:9">
      <c r="B290" s="47">
        <v>534</v>
      </c>
      <c r="C290" s="47"/>
      <c r="D290" s="47"/>
      <c r="F290" s="47">
        <v>465</v>
      </c>
      <c r="H290" s="47"/>
      <c r="I290" s="45">
        <v>0.3</v>
      </c>
    </row>
    <row r="291" spans="2:9">
      <c r="B291" s="47">
        <v>535</v>
      </c>
      <c r="C291" s="47">
        <v>593</v>
      </c>
      <c r="D291" s="47"/>
      <c r="E291" s="47">
        <v>405</v>
      </c>
      <c r="F291" s="47">
        <v>465</v>
      </c>
      <c r="G291" s="49"/>
      <c r="H291" s="47"/>
      <c r="I291" s="45">
        <v>0.25</v>
      </c>
    </row>
    <row r="292" spans="2:9">
      <c r="B292" s="47">
        <v>536</v>
      </c>
      <c r="C292" s="47">
        <v>598</v>
      </c>
      <c r="D292" s="47">
        <v>401</v>
      </c>
      <c r="E292" s="47">
        <v>406</v>
      </c>
      <c r="F292" s="47">
        <v>467</v>
      </c>
      <c r="G292" s="47">
        <v>274</v>
      </c>
      <c r="H292" s="47">
        <v>335</v>
      </c>
      <c r="I292" s="45">
        <v>0.2</v>
      </c>
    </row>
    <row r="293" spans="2:9">
      <c r="B293" s="47">
        <v>537</v>
      </c>
      <c r="C293" s="47"/>
      <c r="D293" s="47">
        <v>402</v>
      </c>
      <c r="E293" s="47">
        <v>407</v>
      </c>
      <c r="F293" s="47"/>
      <c r="H293" s="47">
        <v>335</v>
      </c>
      <c r="I293" s="45">
        <v>0.17</v>
      </c>
    </row>
    <row r="294" spans="2:9">
      <c r="B294" s="47">
        <v>538</v>
      </c>
      <c r="C294" s="47">
        <v>599</v>
      </c>
      <c r="D294" s="47">
        <v>403</v>
      </c>
      <c r="E294" s="47">
        <v>408</v>
      </c>
      <c r="F294" s="47">
        <v>468</v>
      </c>
      <c r="G294" s="47">
        <v>275</v>
      </c>
      <c r="H294" s="47">
        <v>336</v>
      </c>
      <c r="I294" s="45">
        <v>0.13</v>
      </c>
    </row>
    <row r="295" spans="2:9">
      <c r="B295" s="47">
        <v>539</v>
      </c>
      <c r="C295" s="47"/>
      <c r="D295" s="47"/>
      <c r="E295" s="47">
        <v>409</v>
      </c>
      <c r="F295" s="47">
        <v>469</v>
      </c>
      <c r="G295" s="47">
        <v>276</v>
      </c>
      <c r="H295" s="47"/>
      <c r="I295" s="45">
        <v>0.1</v>
      </c>
    </row>
    <row r="296" spans="2:9">
      <c r="B296" s="47">
        <v>540</v>
      </c>
      <c r="C296" s="47">
        <v>600</v>
      </c>
      <c r="D296" s="47"/>
      <c r="F296" s="47">
        <v>470</v>
      </c>
      <c r="H296" s="47"/>
      <c r="I296" s="45">
        <v>0.08</v>
      </c>
    </row>
    <row r="297" spans="2:9">
      <c r="B297" s="47">
        <v>541</v>
      </c>
      <c r="C297" s="47"/>
      <c r="D297" s="47">
        <v>404</v>
      </c>
      <c r="E297" s="47">
        <v>410</v>
      </c>
      <c r="F297" s="47"/>
      <c r="H297" s="47"/>
      <c r="I297" s="45">
        <v>0.06</v>
      </c>
    </row>
    <row r="298" spans="2:9">
      <c r="B298" s="47">
        <v>542</v>
      </c>
      <c r="C298" s="47">
        <v>601</v>
      </c>
      <c r="D298" s="47"/>
      <c r="E298" s="47">
        <v>412</v>
      </c>
      <c r="F298" s="47"/>
      <c r="G298" s="49"/>
      <c r="H298" s="47">
        <v>337</v>
      </c>
      <c r="I298" s="45">
        <v>0.05</v>
      </c>
    </row>
    <row r="299" spans="2:9">
      <c r="B299" s="47">
        <v>543</v>
      </c>
      <c r="C299" s="47">
        <v>602</v>
      </c>
      <c r="D299" s="47"/>
      <c r="F299" s="47">
        <v>471</v>
      </c>
      <c r="G299" s="47">
        <v>278</v>
      </c>
      <c r="H299" s="47"/>
      <c r="I299" s="45">
        <v>0.04</v>
      </c>
    </row>
    <row r="300" spans="2:9">
      <c r="B300" s="47">
        <v>544</v>
      </c>
      <c r="C300" s="47"/>
      <c r="D300" s="47"/>
      <c r="F300" s="47">
        <v>472</v>
      </c>
      <c r="G300" s="47">
        <v>279</v>
      </c>
      <c r="H300" s="47"/>
      <c r="I300" s="45">
        <v>3.5000000000000003E-2</v>
      </c>
    </row>
    <row r="301" spans="2:9">
      <c r="B301" s="47">
        <v>545</v>
      </c>
      <c r="C301" s="47">
        <v>603</v>
      </c>
      <c r="D301" s="47"/>
      <c r="E301" s="47">
        <v>414</v>
      </c>
      <c r="F301" s="47">
        <v>473</v>
      </c>
      <c r="H301" s="47"/>
      <c r="I301" s="45">
        <v>0.03</v>
      </c>
    </row>
    <row r="302" spans="2:9">
      <c r="B302" s="47">
        <v>546</v>
      </c>
      <c r="C302" s="47">
        <v>605</v>
      </c>
      <c r="D302" s="47">
        <v>406</v>
      </c>
      <c r="E302" s="47">
        <v>415</v>
      </c>
      <c r="F302" s="47"/>
      <c r="H302" s="47"/>
      <c r="I302" s="45">
        <v>2.5000000000000001E-2</v>
      </c>
    </row>
    <row r="303" spans="2:9">
      <c r="B303" s="47">
        <v>547</v>
      </c>
      <c r="C303" s="47"/>
      <c r="D303" s="47"/>
      <c r="E303" s="47">
        <v>416</v>
      </c>
      <c r="F303" s="47"/>
      <c r="G303" s="47">
        <v>280</v>
      </c>
      <c r="H303" s="47">
        <v>338</v>
      </c>
      <c r="I303" s="45">
        <v>0.02</v>
      </c>
    </row>
    <row r="304" spans="2:9">
      <c r="B304" s="47">
        <v>548</v>
      </c>
      <c r="C304" s="47">
        <v>606</v>
      </c>
      <c r="D304" s="47"/>
      <c r="F304" s="47">
        <v>474</v>
      </c>
      <c r="H304" s="47"/>
      <c r="I304" s="45">
        <v>0.01</v>
      </c>
    </row>
    <row r="305" spans="2:9">
      <c r="B305" s="47">
        <v>549</v>
      </c>
      <c r="C305" s="47"/>
      <c r="D305" s="47"/>
      <c r="E305" s="47">
        <v>417</v>
      </c>
      <c r="F305" s="47"/>
      <c r="G305" s="47">
        <v>281</v>
      </c>
      <c r="H305" s="47"/>
      <c r="I305" s="45">
        <v>5.0000000000000001E-3</v>
      </c>
    </row>
    <row r="306" spans="2:9">
      <c r="C306" s="47"/>
      <c r="D306" s="47"/>
      <c r="F306" s="47"/>
      <c r="H306" s="47"/>
    </row>
    <row r="307" spans="2:9">
      <c r="C307" s="47"/>
      <c r="D307" s="47"/>
      <c r="F307" s="47"/>
      <c r="H307" s="47"/>
    </row>
    <row r="308" spans="2:9">
      <c r="C308" s="47"/>
      <c r="D308" s="47"/>
      <c r="F308" s="47"/>
      <c r="H308" s="47"/>
    </row>
    <row r="309" spans="2:9">
      <c r="C309" s="47"/>
      <c r="D309" s="47"/>
      <c r="F309" s="47"/>
      <c r="H309" s="47"/>
    </row>
    <row r="310" spans="2:9">
      <c r="C310" s="47"/>
      <c r="D310" s="47"/>
      <c r="F310" s="47"/>
      <c r="H310" s="47"/>
    </row>
    <row r="311" spans="2:9">
      <c r="C311" s="47"/>
      <c r="D311" s="47"/>
      <c r="F311" s="47"/>
      <c r="H311" s="47"/>
    </row>
    <row r="312" spans="2:9">
      <c r="C312" s="47"/>
      <c r="D312" s="47"/>
      <c r="F312" s="47"/>
      <c r="H312" s="47"/>
    </row>
    <row r="313" spans="2:9">
      <c r="C313" s="47"/>
      <c r="D313" s="47"/>
      <c r="F313" s="47"/>
      <c r="H313" s="47"/>
    </row>
    <row r="314" spans="2:9">
      <c r="C314" s="47"/>
      <c r="D314" s="47"/>
      <c r="F314" s="47"/>
      <c r="H314" s="47"/>
    </row>
    <row r="315" spans="2:9">
      <c r="C315" s="47"/>
      <c r="D315" s="47"/>
      <c r="F315" s="47"/>
      <c r="H315" s="47"/>
    </row>
    <row r="316" spans="2:9">
      <c r="C316" s="47"/>
      <c r="D316" s="47"/>
      <c r="F316" s="47"/>
      <c r="H316" s="47"/>
    </row>
    <row r="317" spans="2:9">
      <c r="C317" s="47"/>
      <c r="D317" s="47"/>
      <c r="F317" s="47"/>
      <c r="H317" s="47"/>
    </row>
    <row r="318" spans="2:9">
      <c r="C318" s="47"/>
      <c r="D318" s="47"/>
      <c r="F318" s="47"/>
      <c r="H318" s="47"/>
    </row>
    <row r="319" spans="2:9">
      <c r="C319" s="47"/>
      <c r="D319" s="47"/>
      <c r="F319" s="47"/>
      <c r="H319" s="47"/>
    </row>
    <row r="320" spans="2:9">
      <c r="C320" s="47"/>
      <c r="D320" s="47"/>
      <c r="F320" s="47"/>
      <c r="H320" s="47"/>
    </row>
    <row r="321" spans="3:8">
      <c r="C321" s="47"/>
      <c r="D321" s="47"/>
      <c r="F321" s="47"/>
      <c r="H321" s="47"/>
    </row>
    <row r="322" spans="3:8">
      <c r="C322" s="47"/>
      <c r="D322" s="47"/>
      <c r="F322" s="47"/>
      <c r="H322" s="47"/>
    </row>
    <row r="323" spans="3:8">
      <c r="C323" s="47"/>
      <c r="D323" s="47"/>
      <c r="F323" s="47"/>
      <c r="H323" s="47"/>
    </row>
    <row r="324" spans="3:8">
      <c r="C324" s="47"/>
      <c r="D324" s="47"/>
      <c r="F324" s="47"/>
      <c r="H324" s="47"/>
    </row>
    <row r="325" spans="3:8">
      <c r="C325" s="47"/>
      <c r="D325" s="47"/>
      <c r="F325" s="47"/>
      <c r="H325" s="47"/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C8:O23"/>
  <sheetViews>
    <sheetView workbookViewId="0">
      <selection activeCell="J8" sqref="J8:O23"/>
    </sheetView>
  </sheetViews>
  <sheetFormatPr defaultRowHeight="16.5"/>
  <cols>
    <col min="10" max="10" width="15.375" customWidth="1"/>
  </cols>
  <sheetData>
    <row r="8" spans="3:15">
      <c r="D8" t="s">
        <v>36</v>
      </c>
      <c r="E8" t="s">
        <v>37</v>
      </c>
      <c r="F8" t="s">
        <v>38</v>
      </c>
      <c r="G8" t="s">
        <v>39</v>
      </c>
      <c r="H8" t="s">
        <v>40</v>
      </c>
      <c r="K8" s="25" t="s">
        <v>36</v>
      </c>
      <c r="L8" s="25" t="s">
        <v>37</v>
      </c>
      <c r="M8" s="25" t="s">
        <v>38</v>
      </c>
      <c r="N8" s="25" t="s">
        <v>39</v>
      </c>
      <c r="O8" s="25" t="s">
        <v>40</v>
      </c>
    </row>
    <row r="9" spans="3:15">
      <c r="C9" t="s">
        <v>41</v>
      </c>
      <c r="D9">
        <v>1</v>
      </c>
      <c r="E9">
        <v>1.2</v>
      </c>
      <c r="F9">
        <v>1</v>
      </c>
      <c r="G9">
        <v>0.8</v>
      </c>
      <c r="H9">
        <v>0.8</v>
      </c>
      <c r="J9" s="25" t="s">
        <v>41</v>
      </c>
      <c r="K9" s="37">
        <f t="shared" ref="K9:K15" si="0">D9/$E9</f>
        <v>0.83333333333333337</v>
      </c>
      <c r="L9" s="37">
        <f>E9/$E9</f>
        <v>1</v>
      </c>
      <c r="M9" s="37">
        <f>F9/$E9</f>
        <v>0.83333333333333337</v>
      </c>
      <c r="N9" s="37">
        <f>G9/$E9</f>
        <v>0.66666666666666674</v>
      </c>
      <c r="O9" s="37">
        <f>H9/$E9</f>
        <v>0.66666666666666674</v>
      </c>
    </row>
    <row r="10" spans="3:15">
      <c r="C10" t="s">
        <v>42</v>
      </c>
      <c r="D10">
        <v>0.5</v>
      </c>
      <c r="E10">
        <v>0.75</v>
      </c>
      <c r="F10">
        <v>0.5</v>
      </c>
      <c r="G10">
        <v>0.75</v>
      </c>
      <c r="H10">
        <v>0.75</v>
      </c>
      <c r="J10" s="25" t="s">
        <v>42</v>
      </c>
      <c r="K10" s="37">
        <f t="shared" si="0"/>
        <v>0.66666666666666663</v>
      </c>
      <c r="L10" s="37">
        <f t="shared" ref="L10:O15" si="1">E10/$E10</f>
        <v>1</v>
      </c>
      <c r="M10" s="37">
        <f t="shared" si="1"/>
        <v>0.66666666666666663</v>
      </c>
      <c r="N10" s="37">
        <f t="shared" si="1"/>
        <v>1</v>
      </c>
      <c r="O10" s="37">
        <f t="shared" si="1"/>
        <v>1</v>
      </c>
    </row>
    <row r="11" spans="3:15">
      <c r="C11" t="s">
        <v>43</v>
      </c>
      <c r="D11">
        <v>0</v>
      </c>
      <c r="E11">
        <v>1.4481839772924752</v>
      </c>
      <c r="F11">
        <v>0.72409198864623758</v>
      </c>
      <c r="G11">
        <v>1.4481839772924752</v>
      </c>
      <c r="H11">
        <v>1.4481839772924752</v>
      </c>
      <c r="J11" s="25" t="s">
        <v>43</v>
      </c>
      <c r="K11" s="37">
        <f t="shared" si="0"/>
        <v>0</v>
      </c>
      <c r="L11" s="37">
        <f t="shared" si="1"/>
        <v>1</v>
      </c>
      <c r="M11" s="37">
        <f t="shared" si="1"/>
        <v>0.5</v>
      </c>
      <c r="N11" s="37">
        <f t="shared" si="1"/>
        <v>1</v>
      </c>
      <c r="O11" s="37">
        <f t="shared" si="1"/>
        <v>1</v>
      </c>
    </row>
    <row r="12" spans="3:15">
      <c r="C12" t="s">
        <v>44</v>
      </c>
      <c r="D12">
        <v>0.73111172849434847</v>
      </c>
      <c r="E12">
        <v>1.0966675927415228</v>
      </c>
      <c r="F12">
        <v>0.73111172849434847</v>
      </c>
      <c r="G12">
        <v>1.0966675927415228</v>
      </c>
      <c r="H12">
        <v>1.0966675927415228</v>
      </c>
      <c r="J12" s="25" t="s">
        <v>44</v>
      </c>
      <c r="K12" s="37">
        <f t="shared" si="0"/>
        <v>0.66666666666666663</v>
      </c>
      <c r="L12" s="37">
        <f t="shared" si="1"/>
        <v>1</v>
      </c>
      <c r="M12" s="37">
        <f t="shared" si="1"/>
        <v>0.66666666666666663</v>
      </c>
      <c r="N12" s="37">
        <f t="shared" si="1"/>
        <v>1</v>
      </c>
      <c r="O12" s="37">
        <f t="shared" si="1"/>
        <v>1</v>
      </c>
    </row>
    <row r="13" spans="3:15">
      <c r="C13" t="s">
        <v>45</v>
      </c>
      <c r="D13">
        <v>0.7</v>
      </c>
      <c r="E13">
        <v>1.3</v>
      </c>
      <c r="F13">
        <v>1.2</v>
      </c>
      <c r="G13">
        <v>0.8</v>
      </c>
      <c r="H13">
        <v>0.8</v>
      </c>
      <c r="J13" s="25" t="s">
        <v>45</v>
      </c>
      <c r="K13" s="37">
        <f t="shared" si="0"/>
        <v>0.53846153846153844</v>
      </c>
      <c r="L13" s="37">
        <f t="shared" si="1"/>
        <v>1</v>
      </c>
      <c r="M13" s="37">
        <f t="shared" si="1"/>
        <v>0.92307692307692302</v>
      </c>
      <c r="N13" s="37">
        <f t="shared" si="1"/>
        <v>0.61538461538461542</v>
      </c>
      <c r="O13" s="37">
        <f t="shared" si="1"/>
        <v>0.61538461538461542</v>
      </c>
    </row>
    <row r="14" spans="3:15">
      <c r="C14" t="s">
        <v>46</v>
      </c>
      <c r="D14">
        <v>0</v>
      </c>
      <c r="E14">
        <v>2.5</v>
      </c>
      <c r="F14">
        <v>0</v>
      </c>
      <c r="G14">
        <v>2.5</v>
      </c>
      <c r="H14">
        <v>2.5</v>
      </c>
      <c r="J14" s="25" t="s">
        <v>46</v>
      </c>
      <c r="K14" s="37">
        <f t="shared" si="0"/>
        <v>0</v>
      </c>
      <c r="L14" s="37">
        <f t="shared" si="1"/>
        <v>1</v>
      </c>
      <c r="M14" s="37">
        <f t="shared" si="1"/>
        <v>0</v>
      </c>
      <c r="N14" s="37">
        <f t="shared" si="1"/>
        <v>1</v>
      </c>
      <c r="O14" s="37">
        <f t="shared" si="1"/>
        <v>1</v>
      </c>
    </row>
    <row r="15" spans="3:15">
      <c r="C15" t="s">
        <v>47</v>
      </c>
      <c r="D15">
        <v>0.7</v>
      </c>
      <c r="E15">
        <v>1.0499999999999998</v>
      </c>
      <c r="F15">
        <v>0.7</v>
      </c>
      <c r="G15">
        <v>1.0499999999999998</v>
      </c>
      <c r="H15">
        <v>1.0499999999999998</v>
      </c>
      <c r="J15" s="25" t="s">
        <v>47</v>
      </c>
      <c r="K15" s="37">
        <f t="shared" si="0"/>
        <v>0.66666666666666674</v>
      </c>
      <c r="L15" s="37">
        <f t="shared" si="1"/>
        <v>1</v>
      </c>
      <c r="M15" s="37">
        <f t="shared" si="1"/>
        <v>0.66666666666666674</v>
      </c>
      <c r="N15" s="37">
        <f t="shared" si="1"/>
        <v>1</v>
      </c>
      <c r="O15" s="37">
        <f t="shared" si="1"/>
        <v>1</v>
      </c>
    </row>
    <row r="16" spans="3:15">
      <c r="C16" t="s">
        <v>48</v>
      </c>
      <c r="D16">
        <v>0.75757575757575757</v>
      </c>
      <c r="E16">
        <v>2.8985507246376812</v>
      </c>
      <c r="F16">
        <v>2.2058823529411766</v>
      </c>
      <c r="G16">
        <v>1.4361625736033319</v>
      </c>
      <c r="H16">
        <v>1.4361625736033319</v>
      </c>
      <c r="J16" s="25" t="s">
        <v>48</v>
      </c>
      <c r="K16" s="37">
        <f t="shared" ref="K16:K23" si="2">D16/$E16</f>
        <v>0.26136363636363635</v>
      </c>
      <c r="L16" s="37">
        <f t="shared" ref="L16:L23" si="3">E16/$E16</f>
        <v>1</v>
      </c>
      <c r="M16" s="37">
        <f t="shared" ref="M16:M23" si="4">F16/$E16</f>
        <v>0.76102941176470595</v>
      </c>
      <c r="N16" s="37">
        <f t="shared" ref="N16:N23" si="5">G16/$E16</f>
        <v>0.49547608789314951</v>
      </c>
      <c r="O16" s="37">
        <f t="shared" ref="O16:O23" si="6">H16/$E16</f>
        <v>0.49547608789314951</v>
      </c>
    </row>
    <row r="17" spans="3:15">
      <c r="C17" t="s">
        <v>49</v>
      </c>
      <c r="D17">
        <v>1.0606060606060606</v>
      </c>
      <c r="E17">
        <v>1.5217391304347827</v>
      </c>
      <c r="F17">
        <v>1.0294117647058822</v>
      </c>
      <c r="G17">
        <v>1.5079707022834985</v>
      </c>
      <c r="H17">
        <v>1.5079707022834985</v>
      </c>
      <c r="J17" s="25" t="s">
        <v>49</v>
      </c>
      <c r="K17" s="37">
        <f t="shared" si="2"/>
        <v>0.69696969696969691</v>
      </c>
      <c r="L17" s="37">
        <f t="shared" si="3"/>
        <v>1</v>
      </c>
      <c r="M17" s="37">
        <f t="shared" si="4"/>
        <v>0.67647058823529405</v>
      </c>
      <c r="N17" s="37">
        <f t="shared" si="5"/>
        <v>0.99095217578629891</v>
      </c>
      <c r="O17" s="37">
        <f t="shared" si="6"/>
        <v>0.99095217578629891</v>
      </c>
    </row>
    <row r="18" spans="3:15">
      <c r="C18" t="s">
        <v>50</v>
      </c>
      <c r="D18">
        <v>0.70000000000000007</v>
      </c>
      <c r="E18">
        <v>1.2249999999999999</v>
      </c>
      <c r="F18">
        <v>0.70000000000000007</v>
      </c>
      <c r="G18">
        <v>0.875</v>
      </c>
      <c r="H18">
        <v>0.875</v>
      </c>
      <c r="J18" s="25" t="s">
        <v>50</v>
      </c>
      <c r="K18" s="37">
        <f t="shared" si="2"/>
        <v>0.57142857142857151</v>
      </c>
      <c r="L18" s="37">
        <f t="shared" si="3"/>
        <v>1</v>
      </c>
      <c r="M18" s="37">
        <f t="shared" si="4"/>
        <v>0.57142857142857151</v>
      </c>
      <c r="N18" s="37">
        <f t="shared" si="5"/>
        <v>0.71428571428571441</v>
      </c>
      <c r="O18" s="37">
        <f t="shared" si="6"/>
        <v>0.71428571428571441</v>
      </c>
    </row>
    <row r="19" spans="3:15">
      <c r="C19" t="s">
        <v>51</v>
      </c>
      <c r="D19">
        <v>0</v>
      </c>
      <c r="E19">
        <v>3.5507246376811592</v>
      </c>
      <c r="F19">
        <v>0</v>
      </c>
      <c r="G19">
        <v>1.5079707022834985</v>
      </c>
      <c r="H19">
        <v>1.5079707022834985</v>
      </c>
      <c r="J19" s="25" t="s">
        <v>51</v>
      </c>
      <c r="K19" s="37">
        <f t="shared" si="2"/>
        <v>0</v>
      </c>
      <c r="L19" s="37">
        <f t="shared" si="3"/>
        <v>1</v>
      </c>
      <c r="M19" s="37">
        <f t="shared" si="4"/>
        <v>0</v>
      </c>
      <c r="N19" s="37">
        <f t="shared" si="5"/>
        <v>0.4246937896226996</v>
      </c>
      <c r="O19" s="37">
        <f t="shared" si="6"/>
        <v>0.4246937896226996</v>
      </c>
    </row>
    <row r="20" spans="3:15">
      <c r="C20" t="s">
        <v>52</v>
      </c>
      <c r="D20">
        <v>0</v>
      </c>
      <c r="E20">
        <v>2.0289855072463769</v>
      </c>
      <c r="F20">
        <v>1.5441176470588236</v>
      </c>
      <c r="G20">
        <v>1.5079707022834985</v>
      </c>
      <c r="H20">
        <v>1.5079707022834985</v>
      </c>
      <c r="J20" s="25" t="s">
        <v>52</v>
      </c>
      <c r="K20" s="37">
        <f t="shared" si="2"/>
        <v>0</v>
      </c>
      <c r="L20" s="37">
        <f t="shared" si="3"/>
        <v>1</v>
      </c>
      <c r="M20" s="37">
        <f t="shared" si="4"/>
        <v>0.76102941176470584</v>
      </c>
      <c r="N20" s="37">
        <f t="shared" si="5"/>
        <v>0.74321413183972418</v>
      </c>
      <c r="O20" s="37">
        <f t="shared" si="6"/>
        <v>0.74321413183972418</v>
      </c>
    </row>
    <row r="21" spans="3:15">
      <c r="C21" t="s">
        <v>53</v>
      </c>
      <c r="D21">
        <v>1.0606060606060606</v>
      </c>
      <c r="E21">
        <v>1.5217391304347827</v>
      </c>
      <c r="F21">
        <v>1.0294117647058822</v>
      </c>
      <c r="G21">
        <v>1.5079707022834985</v>
      </c>
      <c r="H21">
        <v>1.5079707022834985</v>
      </c>
      <c r="J21" s="25" t="s">
        <v>53</v>
      </c>
      <c r="K21" s="37">
        <f t="shared" si="2"/>
        <v>0.69696969696969691</v>
      </c>
      <c r="L21" s="37">
        <f t="shared" si="3"/>
        <v>1</v>
      </c>
      <c r="M21" s="37">
        <f t="shared" si="4"/>
        <v>0.67647058823529405</v>
      </c>
      <c r="N21" s="37">
        <f t="shared" si="5"/>
        <v>0.99095217578629891</v>
      </c>
      <c r="O21" s="37">
        <f t="shared" si="6"/>
        <v>0.99095217578629891</v>
      </c>
    </row>
    <row r="22" spans="3:15">
      <c r="C22" t="s">
        <v>54</v>
      </c>
      <c r="D22">
        <v>1</v>
      </c>
      <c r="E22">
        <v>1.5</v>
      </c>
      <c r="F22">
        <v>1</v>
      </c>
      <c r="G22">
        <v>1.5</v>
      </c>
      <c r="H22">
        <v>1.5</v>
      </c>
      <c r="J22" s="25" t="s">
        <v>54</v>
      </c>
      <c r="K22" s="37">
        <f t="shared" si="2"/>
        <v>0.66666666666666663</v>
      </c>
      <c r="L22" s="37">
        <f t="shared" si="3"/>
        <v>1</v>
      </c>
      <c r="M22" s="37">
        <f t="shared" si="4"/>
        <v>0.66666666666666663</v>
      </c>
      <c r="N22" s="37">
        <f t="shared" si="5"/>
        <v>1</v>
      </c>
      <c r="O22" s="37">
        <f t="shared" si="6"/>
        <v>1</v>
      </c>
    </row>
    <row r="23" spans="3:15">
      <c r="C23" t="s">
        <v>55</v>
      </c>
      <c r="D23">
        <v>1.1003924733154826</v>
      </c>
      <c r="E23">
        <v>1.1003924733154826</v>
      </c>
      <c r="F23">
        <v>1.1003924733154826</v>
      </c>
      <c r="G23">
        <v>1.1003924733154826</v>
      </c>
      <c r="H23">
        <v>1.1003924733154826</v>
      </c>
      <c r="J23" s="25" t="s">
        <v>55</v>
      </c>
      <c r="K23" s="37">
        <f t="shared" si="2"/>
        <v>1</v>
      </c>
      <c r="L23" s="37">
        <f t="shared" si="3"/>
        <v>1</v>
      </c>
      <c r="M23" s="37">
        <f t="shared" si="4"/>
        <v>1</v>
      </c>
      <c r="N23" s="37">
        <f t="shared" si="5"/>
        <v>1</v>
      </c>
      <c r="O23" s="37">
        <f t="shared" si="6"/>
        <v>1</v>
      </c>
    </row>
  </sheetData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3:R69"/>
  <sheetViews>
    <sheetView showGridLines="0" topLeftCell="A35" workbookViewId="0">
      <selection activeCell="B54" sqref="B54:G69"/>
    </sheetView>
  </sheetViews>
  <sheetFormatPr defaultRowHeight="16.5"/>
  <cols>
    <col min="2" max="2" width="16.625" customWidth="1"/>
    <col min="12" max="12" width="16.375" customWidth="1"/>
    <col min="13" max="13" width="11.375" customWidth="1"/>
  </cols>
  <sheetData>
    <row r="3" spans="2:17">
      <c r="C3" t="s">
        <v>36</v>
      </c>
      <c r="D3" t="s">
        <v>37</v>
      </c>
      <c r="E3" t="s">
        <v>38</v>
      </c>
      <c r="F3" t="s">
        <v>56</v>
      </c>
      <c r="G3" t="s">
        <v>57</v>
      </c>
      <c r="H3" t="s">
        <v>58</v>
      </c>
      <c r="M3" t="s">
        <v>36</v>
      </c>
      <c r="N3" t="s">
        <v>37</v>
      </c>
      <c r="O3" t="s">
        <v>38</v>
      </c>
      <c r="P3" t="s">
        <v>39</v>
      </c>
      <c r="Q3" t="s">
        <v>40</v>
      </c>
    </row>
    <row r="4" spans="2:17">
      <c r="B4" t="s">
        <v>41</v>
      </c>
      <c r="C4">
        <v>132</v>
      </c>
      <c r="D4">
        <v>165.6</v>
      </c>
      <c r="E4">
        <v>136</v>
      </c>
      <c r="F4">
        <v>55.704000000000001</v>
      </c>
      <c r="G4">
        <v>55.704000000000001</v>
      </c>
      <c r="H4">
        <v>545.00800000000004</v>
      </c>
      <c r="L4" t="s">
        <v>41</v>
      </c>
      <c r="M4">
        <v>1</v>
      </c>
      <c r="N4">
        <v>1.2</v>
      </c>
      <c r="O4">
        <v>1</v>
      </c>
      <c r="P4">
        <v>0.8</v>
      </c>
      <c r="Q4">
        <v>0.8</v>
      </c>
    </row>
    <row r="5" spans="2:17">
      <c r="B5" t="s">
        <v>42</v>
      </c>
      <c r="C5">
        <v>66</v>
      </c>
      <c r="D5">
        <v>103.5</v>
      </c>
      <c r="E5">
        <v>68</v>
      </c>
      <c r="F5">
        <v>52.222499999999997</v>
      </c>
      <c r="G5">
        <v>52.222499999999997</v>
      </c>
      <c r="H5">
        <v>341.94499999999994</v>
      </c>
      <c r="L5" t="s">
        <v>42</v>
      </c>
      <c r="M5">
        <v>0.5</v>
      </c>
      <c r="N5">
        <v>0.75</v>
      </c>
      <c r="O5">
        <v>0.5</v>
      </c>
      <c r="P5">
        <v>0.75</v>
      </c>
      <c r="Q5">
        <v>0.75</v>
      </c>
    </row>
    <row r="6" spans="2:17">
      <c r="B6" t="s">
        <v>43</v>
      </c>
      <c r="C6">
        <v>0</v>
      </c>
      <c r="D6">
        <v>199.84938886636158</v>
      </c>
      <c r="E6">
        <v>98.476510455888317</v>
      </c>
      <c r="F6">
        <v>100.83705033887504</v>
      </c>
      <c r="G6">
        <v>100.83705033887504</v>
      </c>
      <c r="H6">
        <v>499.99999999999994</v>
      </c>
      <c r="L6" t="s">
        <v>43</v>
      </c>
      <c r="M6">
        <v>0</v>
      </c>
      <c r="N6">
        <v>1.4481839772924752</v>
      </c>
      <c r="O6">
        <v>0.72409198864623758</v>
      </c>
      <c r="P6">
        <v>1.4481839772924752</v>
      </c>
      <c r="Q6">
        <v>1.4481839772924752</v>
      </c>
    </row>
    <row r="7" spans="2:17">
      <c r="B7" t="s">
        <v>44</v>
      </c>
      <c r="C7">
        <v>96.506748161253995</v>
      </c>
      <c r="D7">
        <v>151.34012779833014</v>
      </c>
      <c r="E7">
        <v>99.431195075231386</v>
      </c>
      <c r="F7">
        <v>76.360964482592223</v>
      </c>
      <c r="G7">
        <v>76.360964482592223</v>
      </c>
      <c r="H7">
        <v>500</v>
      </c>
      <c r="L7" t="s">
        <v>44</v>
      </c>
      <c r="M7">
        <v>0.73111172849434847</v>
      </c>
      <c r="N7">
        <v>1.0966675927415228</v>
      </c>
      <c r="O7">
        <v>0.73111172849434847</v>
      </c>
      <c r="P7">
        <v>1.0966675927415228</v>
      </c>
      <c r="Q7">
        <v>1.0966675927415228</v>
      </c>
    </row>
    <row r="8" spans="2:17">
      <c r="B8" t="s">
        <v>45</v>
      </c>
      <c r="C8">
        <v>92.399999999999991</v>
      </c>
      <c r="D8">
        <v>179.4</v>
      </c>
      <c r="E8">
        <v>163.19999999999999</v>
      </c>
      <c r="F8">
        <v>55.704000000000001</v>
      </c>
      <c r="G8">
        <v>55.704000000000001</v>
      </c>
      <c r="H8">
        <v>546.40800000000002</v>
      </c>
      <c r="L8" t="s">
        <v>45</v>
      </c>
      <c r="M8">
        <v>0.7</v>
      </c>
      <c r="N8">
        <v>1.3</v>
      </c>
      <c r="O8">
        <v>1.2</v>
      </c>
      <c r="P8">
        <v>0.8</v>
      </c>
      <c r="Q8">
        <v>0.8</v>
      </c>
    </row>
    <row r="9" spans="2:17">
      <c r="B9" t="s">
        <v>46</v>
      </c>
      <c r="C9">
        <v>0</v>
      </c>
      <c r="D9">
        <v>345</v>
      </c>
      <c r="E9">
        <v>0</v>
      </c>
      <c r="F9">
        <v>174.07499999999999</v>
      </c>
      <c r="G9">
        <v>174.07499999999999</v>
      </c>
      <c r="H9">
        <v>693.15000000000009</v>
      </c>
      <c r="L9" t="s">
        <v>46</v>
      </c>
      <c r="M9">
        <v>0</v>
      </c>
      <c r="N9">
        <v>2.5</v>
      </c>
      <c r="O9">
        <v>0</v>
      </c>
      <c r="P9">
        <v>2.5</v>
      </c>
      <c r="Q9">
        <v>2.5</v>
      </c>
    </row>
    <row r="10" spans="2:17">
      <c r="B10" t="s">
        <v>47</v>
      </c>
      <c r="C10">
        <v>92.399999999999991</v>
      </c>
      <c r="D10">
        <v>144.89999999999998</v>
      </c>
      <c r="E10">
        <v>95.199999999999989</v>
      </c>
      <c r="F10">
        <v>73.111499999999978</v>
      </c>
      <c r="G10">
        <v>73.111499999999978</v>
      </c>
      <c r="H10">
        <v>478.7229999999999</v>
      </c>
      <c r="L10" t="s">
        <v>47</v>
      </c>
      <c r="M10">
        <v>0.7</v>
      </c>
      <c r="N10">
        <v>1.0499999999999998</v>
      </c>
      <c r="O10">
        <v>0.7</v>
      </c>
      <c r="P10">
        <v>1.0499999999999998</v>
      </c>
      <c r="Q10">
        <v>1.0499999999999998</v>
      </c>
    </row>
    <row r="11" spans="2:17">
      <c r="B11" t="s">
        <v>48</v>
      </c>
      <c r="C11">
        <v>100</v>
      </c>
      <c r="D11">
        <v>400</v>
      </c>
      <c r="E11">
        <v>300</v>
      </c>
      <c r="F11">
        <v>100</v>
      </c>
      <c r="G11">
        <v>100</v>
      </c>
      <c r="H11">
        <v>1000</v>
      </c>
      <c r="L11" t="s">
        <v>48</v>
      </c>
      <c r="M11">
        <v>0.75757575757575757</v>
      </c>
      <c r="N11">
        <v>2.8985507246376812</v>
      </c>
      <c r="O11">
        <v>2.2058823529411766</v>
      </c>
      <c r="P11">
        <v>1.4361625736033319</v>
      </c>
      <c r="Q11">
        <v>1.4361625736033319</v>
      </c>
    </row>
    <row r="12" spans="2:17">
      <c r="B12" t="s">
        <v>49</v>
      </c>
      <c r="C12">
        <v>140</v>
      </c>
      <c r="D12">
        <v>210</v>
      </c>
      <c r="E12">
        <v>140</v>
      </c>
      <c r="F12">
        <v>105</v>
      </c>
      <c r="G12">
        <v>105</v>
      </c>
      <c r="H12">
        <v>700</v>
      </c>
      <c r="L12" t="s">
        <v>49</v>
      </c>
      <c r="M12">
        <v>1.0606060606060606</v>
      </c>
      <c r="N12">
        <v>1.5217391304347827</v>
      </c>
      <c r="O12">
        <v>1.0294117647058822</v>
      </c>
      <c r="P12">
        <v>1.5079707022834985</v>
      </c>
      <c r="Q12">
        <v>1.5079707022834985</v>
      </c>
    </row>
    <row r="13" spans="2:17">
      <c r="B13" t="s">
        <v>50</v>
      </c>
      <c r="C13">
        <v>92.4</v>
      </c>
      <c r="D13">
        <v>169.04999999999998</v>
      </c>
      <c r="E13">
        <v>95.2</v>
      </c>
      <c r="F13">
        <v>60.926249999999996</v>
      </c>
      <c r="G13">
        <v>60.926249999999996</v>
      </c>
      <c r="H13">
        <v>478.50249999999994</v>
      </c>
      <c r="L13" t="s">
        <v>50</v>
      </c>
      <c r="M13">
        <v>0.70000000000000007</v>
      </c>
      <c r="N13">
        <v>1.2249999999999999</v>
      </c>
      <c r="O13">
        <v>0.70000000000000007</v>
      </c>
      <c r="P13">
        <v>0.875</v>
      </c>
      <c r="Q13">
        <v>0.875</v>
      </c>
    </row>
    <row r="14" spans="2:17">
      <c r="B14" t="s">
        <v>59</v>
      </c>
      <c r="C14">
        <v>0</v>
      </c>
      <c r="D14">
        <v>489.99999999999994</v>
      </c>
      <c r="E14">
        <v>0</v>
      </c>
      <c r="F14">
        <v>105</v>
      </c>
      <c r="G14">
        <v>105</v>
      </c>
      <c r="H14">
        <v>700</v>
      </c>
      <c r="L14" t="s">
        <v>51</v>
      </c>
      <c r="M14">
        <v>0</v>
      </c>
      <c r="N14">
        <v>3.5507246376811592</v>
      </c>
      <c r="O14">
        <v>0</v>
      </c>
      <c r="P14">
        <v>1.5079707022834985</v>
      </c>
      <c r="Q14">
        <v>1.5079707022834985</v>
      </c>
    </row>
    <row r="15" spans="2:17">
      <c r="B15" t="s">
        <v>60</v>
      </c>
      <c r="C15">
        <v>0</v>
      </c>
      <c r="D15">
        <v>280</v>
      </c>
      <c r="E15">
        <v>210</v>
      </c>
      <c r="F15">
        <v>105</v>
      </c>
      <c r="G15">
        <v>105</v>
      </c>
      <c r="H15">
        <v>700</v>
      </c>
      <c r="L15" t="s">
        <v>52</v>
      </c>
      <c r="M15">
        <v>0</v>
      </c>
      <c r="N15">
        <v>2.0289855072463769</v>
      </c>
      <c r="O15">
        <v>1.5441176470588236</v>
      </c>
      <c r="P15">
        <v>1.5079707022834985</v>
      </c>
      <c r="Q15">
        <v>1.5079707022834985</v>
      </c>
    </row>
    <row r="16" spans="2:17">
      <c r="B16" t="s">
        <v>53</v>
      </c>
      <c r="C16">
        <v>140</v>
      </c>
      <c r="D16">
        <v>210</v>
      </c>
      <c r="E16">
        <v>140</v>
      </c>
      <c r="F16">
        <v>105</v>
      </c>
      <c r="G16">
        <v>105</v>
      </c>
      <c r="H16">
        <v>700</v>
      </c>
      <c r="L16" t="s">
        <v>53</v>
      </c>
      <c r="M16">
        <v>1.0606060606060606</v>
      </c>
      <c r="N16">
        <v>1.5217391304347827</v>
      </c>
      <c r="O16">
        <v>1.0294117647058822</v>
      </c>
      <c r="P16">
        <v>1.5079707022834985</v>
      </c>
      <c r="Q16">
        <v>1.5079707022834985</v>
      </c>
    </row>
    <row r="17" spans="2:18">
      <c r="B17" t="s">
        <v>54</v>
      </c>
      <c r="C17">
        <v>132</v>
      </c>
      <c r="D17">
        <v>207</v>
      </c>
      <c r="E17">
        <v>136</v>
      </c>
      <c r="F17">
        <v>102</v>
      </c>
      <c r="G17">
        <v>108</v>
      </c>
      <c r="H17">
        <v>685</v>
      </c>
      <c r="L17" t="s">
        <v>54</v>
      </c>
      <c r="M17">
        <v>1</v>
      </c>
      <c r="N17">
        <v>1.5</v>
      </c>
      <c r="O17">
        <v>1</v>
      </c>
      <c r="P17">
        <v>1.5</v>
      </c>
      <c r="Q17">
        <v>1.5</v>
      </c>
    </row>
    <row r="18" spans="2:18">
      <c r="B18" t="s">
        <v>55</v>
      </c>
      <c r="C18">
        <v>145.2518064776437</v>
      </c>
      <c r="D18">
        <v>151.85416131753661</v>
      </c>
      <c r="E18">
        <v>149.65337637090565</v>
      </c>
      <c r="F18">
        <v>76.620327916957052</v>
      </c>
      <c r="G18">
        <v>76.620327916957052</v>
      </c>
      <c r="H18">
        <v>600.00000000000011</v>
      </c>
      <c r="L18" t="s">
        <v>55</v>
      </c>
      <c r="M18">
        <v>1.1003924733154826</v>
      </c>
      <c r="N18">
        <v>1.1003924733154826</v>
      </c>
      <c r="O18">
        <v>1.1003924733154826</v>
      </c>
      <c r="P18">
        <v>1.1003924733154826</v>
      </c>
      <c r="Q18">
        <v>1.1003924733154826</v>
      </c>
    </row>
    <row r="20" spans="2:18">
      <c r="B20" s="38" t="s">
        <v>61</v>
      </c>
      <c r="C20" s="38" t="s">
        <v>36</v>
      </c>
      <c r="D20" s="38" t="s">
        <v>37</v>
      </c>
      <c r="E20" s="38" t="s">
        <v>38</v>
      </c>
      <c r="F20" s="38" t="s">
        <v>56</v>
      </c>
      <c r="G20" s="38" t="s">
        <v>57</v>
      </c>
      <c r="H20" s="38" t="s">
        <v>58</v>
      </c>
      <c r="L20" t="s">
        <v>63</v>
      </c>
      <c r="M20" s="25" t="s">
        <v>36</v>
      </c>
      <c r="N20" s="25" t="s">
        <v>37</v>
      </c>
      <c r="O20" s="25" t="s">
        <v>38</v>
      </c>
      <c r="P20" s="25" t="s">
        <v>39</v>
      </c>
      <c r="Q20" s="25" t="s">
        <v>40</v>
      </c>
      <c r="R20" t="s">
        <v>64</v>
      </c>
    </row>
    <row r="21" spans="2:18">
      <c r="B21" s="38" t="s">
        <v>62</v>
      </c>
      <c r="C21" s="39">
        <f t="shared" ref="C21:H21" si="0">C4/$H4</f>
        <v>0.24219827965828022</v>
      </c>
      <c r="D21" s="39">
        <f t="shared" si="0"/>
        <v>0.3038487508440243</v>
      </c>
      <c r="E21" s="39">
        <f t="shared" si="0"/>
        <v>0.24953762146610689</v>
      </c>
      <c r="F21" s="39">
        <f t="shared" si="0"/>
        <v>0.10220767401579425</v>
      </c>
      <c r="G21" s="39">
        <f t="shared" si="0"/>
        <v>0.10220767401579425</v>
      </c>
      <c r="H21" s="39">
        <f t="shared" si="0"/>
        <v>1</v>
      </c>
      <c r="L21" s="25" t="s">
        <v>41</v>
      </c>
      <c r="M21">
        <f t="shared" ref="M21:O35" si="1">M4*200</f>
        <v>200</v>
      </c>
      <c r="N21" s="25">
        <f t="shared" si="1"/>
        <v>240</v>
      </c>
      <c r="O21" s="25">
        <f t="shared" si="1"/>
        <v>200</v>
      </c>
      <c r="P21" s="25">
        <f t="shared" ref="P21:Q35" si="2">P4*100</f>
        <v>80</v>
      </c>
      <c r="Q21" s="25">
        <f t="shared" si="2"/>
        <v>80</v>
      </c>
      <c r="R21">
        <f>SUM(M21:Q21)</f>
        <v>800</v>
      </c>
    </row>
    <row r="22" spans="2:18">
      <c r="B22" s="38" t="s">
        <v>42</v>
      </c>
      <c r="C22" s="39">
        <f t="shared" ref="C22:H22" si="3">C5/$H5</f>
        <v>0.19301349632250805</v>
      </c>
      <c r="D22" s="39">
        <f t="shared" si="3"/>
        <v>0.30268025559666034</v>
      </c>
      <c r="E22" s="39">
        <f t="shared" si="3"/>
        <v>0.19886239015046284</v>
      </c>
      <c r="F22" s="39">
        <f t="shared" si="3"/>
        <v>0.15272192896518447</v>
      </c>
      <c r="G22" s="39">
        <f t="shared" si="3"/>
        <v>0.15272192896518447</v>
      </c>
      <c r="H22" s="39">
        <f t="shared" si="3"/>
        <v>1</v>
      </c>
      <c r="L22" s="25" t="s">
        <v>42</v>
      </c>
      <c r="M22" s="25">
        <f t="shared" si="1"/>
        <v>100</v>
      </c>
      <c r="N22" s="25">
        <f t="shared" si="1"/>
        <v>150</v>
      </c>
      <c r="O22" s="25">
        <f t="shared" si="1"/>
        <v>100</v>
      </c>
      <c r="P22" s="25">
        <f t="shared" si="2"/>
        <v>75</v>
      </c>
      <c r="Q22" s="25">
        <f t="shared" si="2"/>
        <v>75</v>
      </c>
      <c r="R22" s="25">
        <f t="shared" ref="R22:R35" si="4">SUM(M22:Q22)</f>
        <v>500</v>
      </c>
    </row>
    <row r="23" spans="2:18">
      <c r="B23" s="38" t="s">
        <v>43</v>
      </c>
      <c r="C23" s="39">
        <f t="shared" ref="C23:H23" si="5">C6/$H6</f>
        <v>0</v>
      </c>
      <c r="D23" s="39">
        <f t="shared" si="5"/>
        <v>0.39969877773272322</v>
      </c>
      <c r="E23" s="39">
        <f t="shared" si="5"/>
        <v>0.19695302091177666</v>
      </c>
      <c r="F23" s="39">
        <f t="shared" si="5"/>
        <v>0.2016741006777501</v>
      </c>
      <c r="G23" s="39">
        <f t="shared" si="5"/>
        <v>0.2016741006777501</v>
      </c>
      <c r="H23" s="39">
        <f t="shared" si="5"/>
        <v>1</v>
      </c>
      <c r="L23" s="25" t="s">
        <v>43</v>
      </c>
      <c r="M23" s="25">
        <f t="shared" si="1"/>
        <v>0</v>
      </c>
      <c r="N23" s="25">
        <f t="shared" si="1"/>
        <v>289.63679545849504</v>
      </c>
      <c r="O23" s="25">
        <f t="shared" si="1"/>
        <v>144.81839772924752</v>
      </c>
      <c r="P23" s="25">
        <f t="shared" si="2"/>
        <v>144.81839772924752</v>
      </c>
      <c r="Q23" s="25">
        <f t="shared" si="2"/>
        <v>144.81839772924752</v>
      </c>
      <c r="R23" s="25">
        <f t="shared" si="4"/>
        <v>724.09198864623761</v>
      </c>
    </row>
    <row r="24" spans="2:18">
      <c r="B24" s="38" t="s">
        <v>44</v>
      </c>
      <c r="C24" s="39">
        <f t="shared" ref="C24:H24" si="6">C7/$H7</f>
        <v>0.193013496322508</v>
      </c>
      <c r="D24" s="39">
        <f t="shared" si="6"/>
        <v>0.30268025559666029</v>
      </c>
      <c r="E24" s="39">
        <f t="shared" si="6"/>
        <v>0.19886239015046278</v>
      </c>
      <c r="F24" s="39">
        <f t="shared" si="6"/>
        <v>0.15272192896518444</v>
      </c>
      <c r="G24" s="39">
        <f t="shared" si="6"/>
        <v>0.15272192896518444</v>
      </c>
      <c r="H24" s="39">
        <f t="shared" si="6"/>
        <v>1</v>
      </c>
      <c r="L24" s="25" t="s">
        <v>44</v>
      </c>
      <c r="M24" s="25">
        <f t="shared" si="1"/>
        <v>146.2223456988697</v>
      </c>
      <c r="N24" s="25">
        <f t="shared" si="1"/>
        <v>219.33351854830457</v>
      </c>
      <c r="O24" s="25">
        <f t="shared" si="1"/>
        <v>146.2223456988697</v>
      </c>
      <c r="P24" s="25">
        <f t="shared" si="2"/>
        <v>109.66675927415228</v>
      </c>
      <c r="Q24" s="25">
        <f t="shared" si="2"/>
        <v>109.66675927415228</v>
      </c>
      <c r="R24" s="25">
        <f t="shared" si="4"/>
        <v>731.11172849434843</v>
      </c>
    </row>
    <row r="25" spans="2:18">
      <c r="B25" s="38" t="s">
        <v>45</v>
      </c>
      <c r="C25" s="39">
        <f t="shared" ref="C25:H25" si="7">C8/$H8</f>
        <v>0.1691044054991874</v>
      </c>
      <c r="D25" s="39">
        <f t="shared" si="7"/>
        <v>0.32832608600166907</v>
      </c>
      <c r="E25" s="39">
        <f t="shared" si="7"/>
        <v>0.29867791101155178</v>
      </c>
      <c r="F25" s="39">
        <f t="shared" si="7"/>
        <v>0.10194579874379585</v>
      </c>
      <c r="G25" s="39">
        <f t="shared" si="7"/>
        <v>0.10194579874379585</v>
      </c>
      <c r="H25" s="39">
        <f t="shared" si="7"/>
        <v>1</v>
      </c>
      <c r="L25" s="25" t="s">
        <v>45</v>
      </c>
      <c r="M25" s="25">
        <f t="shared" si="1"/>
        <v>140</v>
      </c>
      <c r="N25" s="25">
        <f t="shared" si="1"/>
        <v>260</v>
      </c>
      <c r="O25" s="25">
        <f t="shared" si="1"/>
        <v>240</v>
      </c>
      <c r="P25" s="25">
        <f t="shared" si="2"/>
        <v>80</v>
      </c>
      <c r="Q25" s="25">
        <f t="shared" si="2"/>
        <v>80</v>
      </c>
      <c r="R25" s="25">
        <f t="shared" si="4"/>
        <v>800</v>
      </c>
    </row>
    <row r="26" spans="2:18">
      <c r="B26" s="38" t="s">
        <v>46</v>
      </c>
      <c r="C26" s="39">
        <f t="shared" ref="C26:H26" si="8">C9/$H9</f>
        <v>0</v>
      </c>
      <c r="D26" s="39">
        <f t="shared" si="8"/>
        <v>0.49772776455312695</v>
      </c>
      <c r="E26" s="39">
        <f t="shared" si="8"/>
        <v>0</v>
      </c>
      <c r="F26" s="39">
        <f t="shared" si="8"/>
        <v>0.25113611772343641</v>
      </c>
      <c r="G26" s="39">
        <f t="shared" si="8"/>
        <v>0.25113611772343641</v>
      </c>
      <c r="H26" s="39">
        <f t="shared" si="8"/>
        <v>1</v>
      </c>
      <c r="L26" s="25" t="s">
        <v>46</v>
      </c>
      <c r="M26" s="25">
        <f t="shared" si="1"/>
        <v>0</v>
      </c>
      <c r="N26" s="25">
        <f t="shared" si="1"/>
        <v>500</v>
      </c>
      <c r="O26" s="25">
        <f t="shared" si="1"/>
        <v>0</v>
      </c>
      <c r="P26" s="25">
        <f t="shared" si="2"/>
        <v>250</v>
      </c>
      <c r="Q26" s="25">
        <f t="shared" si="2"/>
        <v>250</v>
      </c>
      <c r="R26" s="25">
        <f t="shared" si="4"/>
        <v>1000</v>
      </c>
    </row>
    <row r="27" spans="2:18">
      <c r="B27" s="38" t="s">
        <v>47</v>
      </c>
      <c r="C27" s="39">
        <f t="shared" ref="C27:H27" si="9">C10/$H10</f>
        <v>0.19301349632250803</v>
      </c>
      <c r="D27" s="39">
        <f t="shared" si="9"/>
        <v>0.30268025559666029</v>
      </c>
      <c r="E27" s="39">
        <f t="shared" si="9"/>
        <v>0.19886239015046281</v>
      </c>
      <c r="F27" s="39">
        <f t="shared" si="9"/>
        <v>0.15272192896518444</v>
      </c>
      <c r="G27" s="39">
        <f t="shared" si="9"/>
        <v>0.15272192896518444</v>
      </c>
      <c r="H27" s="39">
        <f t="shared" si="9"/>
        <v>1</v>
      </c>
      <c r="L27" s="25" t="s">
        <v>47</v>
      </c>
      <c r="M27" s="25">
        <f t="shared" si="1"/>
        <v>140</v>
      </c>
      <c r="N27" s="25">
        <f t="shared" si="1"/>
        <v>209.99999999999997</v>
      </c>
      <c r="O27" s="25">
        <f t="shared" si="1"/>
        <v>140</v>
      </c>
      <c r="P27" s="25">
        <f t="shared" si="2"/>
        <v>104.99999999999999</v>
      </c>
      <c r="Q27" s="25">
        <f t="shared" si="2"/>
        <v>104.99999999999999</v>
      </c>
      <c r="R27" s="25">
        <f t="shared" si="4"/>
        <v>700</v>
      </c>
    </row>
    <row r="28" spans="2:18">
      <c r="B28" s="38" t="s">
        <v>48</v>
      </c>
      <c r="C28" s="39">
        <f t="shared" ref="C28:H28" si="10">C11/$H11</f>
        <v>0.1</v>
      </c>
      <c r="D28" s="39">
        <f t="shared" si="10"/>
        <v>0.4</v>
      </c>
      <c r="E28" s="39">
        <f t="shared" si="10"/>
        <v>0.3</v>
      </c>
      <c r="F28" s="39">
        <f t="shared" si="10"/>
        <v>0.1</v>
      </c>
      <c r="G28" s="39">
        <f t="shared" si="10"/>
        <v>0.1</v>
      </c>
      <c r="H28" s="39">
        <f t="shared" si="10"/>
        <v>1</v>
      </c>
      <c r="L28" s="25" t="s">
        <v>48</v>
      </c>
      <c r="M28" s="25">
        <f t="shared" si="1"/>
        <v>151.5151515151515</v>
      </c>
      <c r="N28" s="25">
        <f t="shared" si="1"/>
        <v>579.71014492753625</v>
      </c>
      <c r="O28" s="25">
        <f t="shared" si="1"/>
        <v>441.1764705882353</v>
      </c>
      <c r="P28" s="25">
        <f t="shared" si="2"/>
        <v>143.61625736033318</v>
      </c>
      <c r="Q28" s="25">
        <f t="shared" si="2"/>
        <v>143.61625736033318</v>
      </c>
      <c r="R28" s="25">
        <f t="shared" si="4"/>
        <v>1459.6342817515897</v>
      </c>
    </row>
    <row r="29" spans="2:18">
      <c r="B29" s="38" t="s">
        <v>49</v>
      </c>
      <c r="C29" s="39">
        <f t="shared" ref="C29:H29" si="11">C12/$H12</f>
        <v>0.2</v>
      </c>
      <c r="D29" s="39">
        <f t="shared" si="11"/>
        <v>0.3</v>
      </c>
      <c r="E29" s="39">
        <f t="shared" si="11"/>
        <v>0.2</v>
      </c>
      <c r="F29" s="39">
        <f t="shared" si="11"/>
        <v>0.15</v>
      </c>
      <c r="G29" s="39">
        <f t="shared" si="11"/>
        <v>0.15</v>
      </c>
      <c r="H29" s="39">
        <f t="shared" si="11"/>
        <v>1</v>
      </c>
      <c r="L29" s="25" t="s">
        <v>49</v>
      </c>
      <c r="M29" s="25">
        <f t="shared" si="1"/>
        <v>212.12121212121212</v>
      </c>
      <c r="N29" s="25">
        <f t="shared" si="1"/>
        <v>304.34782608695656</v>
      </c>
      <c r="O29" s="25">
        <f t="shared" si="1"/>
        <v>205.88235294117646</v>
      </c>
      <c r="P29" s="25">
        <f t="shared" si="2"/>
        <v>150.79707022834984</v>
      </c>
      <c r="Q29" s="25">
        <f t="shared" si="2"/>
        <v>150.79707022834984</v>
      </c>
      <c r="R29" s="25">
        <f t="shared" si="4"/>
        <v>1023.9455316060449</v>
      </c>
    </row>
    <row r="30" spans="2:18">
      <c r="B30" s="38" t="s">
        <v>50</v>
      </c>
      <c r="C30" s="39">
        <f t="shared" ref="C30:H30" si="12">C13/$H13</f>
        <v>0.19310243938119448</v>
      </c>
      <c r="D30" s="39">
        <f t="shared" si="12"/>
        <v>0.35328969023150353</v>
      </c>
      <c r="E30" s="39">
        <f t="shared" si="12"/>
        <v>0.19895402845335189</v>
      </c>
      <c r="F30" s="39">
        <f t="shared" si="12"/>
        <v>0.12732692096697509</v>
      </c>
      <c r="G30" s="39">
        <f t="shared" si="12"/>
        <v>0.12732692096697509</v>
      </c>
      <c r="H30" s="39">
        <f t="shared" si="12"/>
        <v>1</v>
      </c>
      <c r="L30" s="25" t="s">
        <v>50</v>
      </c>
      <c r="M30" s="25">
        <f t="shared" si="1"/>
        <v>140</v>
      </c>
      <c r="N30" s="25">
        <f t="shared" si="1"/>
        <v>244.99999999999997</v>
      </c>
      <c r="O30" s="25">
        <f t="shared" si="1"/>
        <v>140</v>
      </c>
      <c r="P30" s="25">
        <f t="shared" si="2"/>
        <v>87.5</v>
      </c>
      <c r="Q30" s="25">
        <f t="shared" si="2"/>
        <v>87.5</v>
      </c>
      <c r="R30" s="25">
        <f t="shared" si="4"/>
        <v>700</v>
      </c>
    </row>
    <row r="31" spans="2:18">
      <c r="B31" s="38" t="s">
        <v>59</v>
      </c>
      <c r="C31" s="39">
        <f t="shared" ref="C31:H31" si="13">C14/$H14</f>
        <v>0</v>
      </c>
      <c r="D31" s="39">
        <f t="shared" si="13"/>
        <v>0.7</v>
      </c>
      <c r="E31" s="39">
        <f t="shared" si="13"/>
        <v>0</v>
      </c>
      <c r="F31" s="39">
        <f t="shared" si="13"/>
        <v>0.15</v>
      </c>
      <c r="G31" s="39">
        <f t="shared" si="13"/>
        <v>0.15</v>
      </c>
      <c r="H31" s="39">
        <f t="shared" si="13"/>
        <v>1</v>
      </c>
      <c r="L31" s="25" t="s">
        <v>51</v>
      </c>
      <c r="M31" s="25">
        <f t="shared" si="1"/>
        <v>0</v>
      </c>
      <c r="N31" s="25">
        <f t="shared" si="1"/>
        <v>710.14492753623188</v>
      </c>
      <c r="O31" s="25">
        <f t="shared" si="1"/>
        <v>0</v>
      </c>
      <c r="P31" s="25">
        <f t="shared" si="2"/>
        <v>150.79707022834984</v>
      </c>
      <c r="Q31" s="25">
        <f t="shared" si="2"/>
        <v>150.79707022834984</v>
      </c>
      <c r="R31" s="25">
        <f t="shared" si="4"/>
        <v>1011.7390679929316</v>
      </c>
    </row>
    <row r="32" spans="2:18">
      <c r="B32" s="38" t="s">
        <v>60</v>
      </c>
      <c r="C32" s="39">
        <f t="shared" ref="C32:H32" si="14">C15/$H15</f>
        <v>0</v>
      </c>
      <c r="D32" s="39">
        <f t="shared" si="14"/>
        <v>0.4</v>
      </c>
      <c r="E32" s="39">
        <f t="shared" si="14"/>
        <v>0.3</v>
      </c>
      <c r="F32" s="39">
        <f t="shared" si="14"/>
        <v>0.15</v>
      </c>
      <c r="G32" s="39">
        <f t="shared" si="14"/>
        <v>0.15</v>
      </c>
      <c r="H32" s="39">
        <f t="shared" si="14"/>
        <v>1</v>
      </c>
      <c r="L32" s="25" t="s">
        <v>52</v>
      </c>
      <c r="M32" s="25">
        <f t="shared" si="1"/>
        <v>0</v>
      </c>
      <c r="N32" s="25">
        <f t="shared" si="1"/>
        <v>405.79710144927537</v>
      </c>
      <c r="O32" s="25">
        <f t="shared" si="1"/>
        <v>308.8235294117647</v>
      </c>
      <c r="P32" s="25">
        <f t="shared" si="2"/>
        <v>150.79707022834984</v>
      </c>
      <c r="Q32" s="25">
        <f t="shared" si="2"/>
        <v>150.79707022834984</v>
      </c>
      <c r="R32" s="25">
        <f t="shared" si="4"/>
        <v>1016.2147713177399</v>
      </c>
    </row>
    <row r="33" spans="2:18">
      <c r="B33" s="38" t="s">
        <v>53</v>
      </c>
      <c r="C33" s="39">
        <f t="shared" ref="C33:H33" si="15">C16/$H16</f>
        <v>0.2</v>
      </c>
      <c r="D33" s="39">
        <f t="shared" si="15"/>
        <v>0.3</v>
      </c>
      <c r="E33" s="39">
        <f t="shared" si="15"/>
        <v>0.2</v>
      </c>
      <c r="F33" s="39">
        <f t="shared" si="15"/>
        <v>0.15</v>
      </c>
      <c r="G33" s="39">
        <f t="shared" si="15"/>
        <v>0.15</v>
      </c>
      <c r="H33" s="39">
        <f t="shared" si="15"/>
        <v>1</v>
      </c>
      <c r="L33" s="25" t="s">
        <v>53</v>
      </c>
      <c r="M33" s="25">
        <f t="shared" si="1"/>
        <v>212.12121212121212</v>
      </c>
      <c r="N33" s="25">
        <f t="shared" si="1"/>
        <v>304.34782608695656</v>
      </c>
      <c r="O33" s="25">
        <f t="shared" si="1"/>
        <v>205.88235294117646</v>
      </c>
      <c r="P33" s="25">
        <f t="shared" si="2"/>
        <v>150.79707022834984</v>
      </c>
      <c r="Q33" s="25">
        <f t="shared" si="2"/>
        <v>150.79707022834984</v>
      </c>
      <c r="R33" s="25">
        <f t="shared" si="4"/>
        <v>1023.9455316060449</v>
      </c>
    </row>
    <row r="34" spans="2:18">
      <c r="B34" s="38" t="s">
        <v>54</v>
      </c>
      <c r="C34" s="39">
        <f t="shared" ref="C34:H34" si="16">C17/$H17</f>
        <v>0.19270072992700729</v>
      </c>
      <c r="D34" s="39">
        <f t="shared" si="16"/>
        <v>0.30218978102189781</v>
      </c>
      <c r="E34" s="39">
        <f t="shared" si="16"/>
        <v>0.19854014598540146</v>
      </c>
      <c r="F34" s="39">
        <f t="shared" si="16"/>
        <v>0.14890510948905109</v>
      </c>
      <c r="G34" s="39">
        <f t="shared" si="16"/>
        <v>0.15766423357664233</v>
      </c>
      <c r="H34" s="39">
        <f t="shared" si="16"/>
        <v>1</v>
      </c>
      <c r="L34" s="25" t="s">
        <v>54</v>
      </c>
      <c r="M34" s="25">
        <f t="shared" si="1"/>
        <v>200</v>
      </c>
      <c r="N34" s="25">
        <f t="shared" si="1"/>
        <v>300</v>
      </c>
      <c r="O34" s="25">
        <f t="shared" si="1"/>
        <v>200</v>
      </c>
      <c r="P34" s="25">
        <f t="shared" si="2"/>
        <v>150</v>
      </c>
      <c r="Q34" s="25">
        <f t="shared" si="2"/>
        <v>150</v>
      </c>
      <c r="R34" s="25">
        <f t="shared" si="4"/>
        <v>1000</v>
      </c>
    </row>
    <row r="35" spans="2:18">
      <c r="B35" s="38" t="s">
        <v>55</v>
      </c>
      <c r="C35" s="39">
        <f t="shared" ref="C35:H35" si="17">C18/$H18</f>
        <v>0.24208634412940611</v>
      </c>
      <c r="D35" s="39">
        <f t="shared" si="17"/>
        <v>0.25309026886256097</v>
      </c>
      <c r="E35" s="39">
        <f t="shared" si="17"/>
        <v>0.24942229395150936</v>
      </c>
      <c r="F35" s="39">
        <f t="shared" si="17"/>
        <v>0.12770054652826174</v>
      </c>
      <c r="G35" s="39">
        <f t="shared" si="17"/>
        <v>0.12770054652826174</v>
      </c>
      <c r="H35" s="39">
        <f t="shared" si="17"/>
        <v>1</v>
      </c>
      <c r="L35" s="25" t="s">
        <v>55</v>
      </c>
      <c r="M35" s="25">
        <f t="shared" si="1"/>
        <v>220.07849466309654</v>
      </c>
      <c r="N35" s="25">
        <f t="shared" si="1"/>
        <v>220.07849466309654</v>
      </c>
      <c r="O35" s="25">
        <f t="shared" si="1"/>
        <v>220.07849466309654</v>
      </c>
      <c r="P35" s="25">
        <f t="shared" si="2"/>
        <v>110.03924733154827</v>
      </c>
      <c r="Q35" s="25">
        <f t="shared" si="2"/>
        <v>110.03924733154827</v>
      </c>
      <c r="R35" s="25">
        <f t="shared" si="4"/>
        <v>880.31397865238614</v>
      </c>
    </row>
    <row r="37" spans="2:18">
      <c r="B37" s="38" t="s">
        <v>65</v>
      </c>
      <c r="C37" s="38" t="s">
        <v>36</v>
      </c>
      <c r="D37" s="38" t="s">
        <v>37</v>
      </c>
      <c r="E37" s="38" t="s">
        <v>38</v>
      </c>
      <c r="F37" s="38" t="s">
        <v>56</v>
      </c>
      <c r="G37" s="38" t="s">
        <v>57</v>
      </c>
      <c r="H37" s="36"/>
      <c r="L37" s="38" t="s">
        <v>63</v>
      </c>
      <c r="M37" s="38" t="s">
        <v>36</v>
      </c>
      <c r="N37" s="38" t="s">
        <v>37</v>
      </c>
      <c r="O37" s="38" t="s">
        <v>38</v>
      </c>
      <c r="P37" s="38" t="s">
        <v>39</v>
      </c>
      <c r="Q37" s="38" t="s">
        <v>40</v>
      </c>
      <c r="R37" s="38" t="s">
        <v>64</v>
      </c>
    </row>
    <row r="38" spans="2:18">
      <c r="B38" s="38" t="s">
        <v>62</v>
      </c>
      <c r="C38" s="39">
        <f t="shared" ref="C38:G52" si="18">C4/$D4</f>
        <v>0.79710144927536231</v>
      </c>
      <c r="D38" s="39">
        <f t="shared" si="18"/>
        <v>1</v>
      </c>
      <c r="E38" s="39">
        <f t="shared" si="18"/>
        <v>0.82125603864734298</v>
      </c>
      <c r="F38" s="39">
        <f t="shared" si="18"/>
        <v>0.33637681159420291</v>
      </c>
      <c r="G38" s="39">
        <f t="shared" si="18"/>
        <v>0.33637681159420291</v>
      </c>
      <c r="H38" s="37"/>
      <c r="L38" s="38" t="s">
        <v>41</v>
      </c>
      <c r="M38" s="41">
        <f t="shared" ref="M38:R38" si="19">M21/$R21</f>
        <v>0.25</v>
      </c>
      <c r="N38" s="41">
        <f t="shared" si="19"/>
        <v>0.3</v>
      </c>
      <c r="O38" s="41">
        <f t="shared" si="19"/>
        <v>0.25</v>
      </c>
      <c r="P38" s="41">
        <f t="shared" si="19"/>
        <v>0.1</v>
      </c>
      <c r="Q38" s="41">
        <f t="shared" si="19"/>
        <v>0.1</v>
      </c>
      <c r="R38" s="42">
        <f t="shared" si="19"/>
        <v>1</v>
      </c>
    </row>
    <row r="39" spans="2:18">
      <c r="B39" s="38" t="s">
        <v>42</v>
      </c>
      <c r="C39" s="39">
        <f t="shared" si="18"/>
        <v>0.6376811594202898</v>
      </c>
      <c r="D39" s="39">
        <f t="shared" si="18"/>
        <v>1</v>
      </c>
      <c r="E39" s="39">
        <f t="shared" si="18"/>
        <v>0.65700483091787443</v>
      </c>
      <c r="F39" s="39">
        <f t="shared" si="18"/>
        <v>0.50456521739130433</v>
      </c>
      <c r="G39" s="39">
        <f t="shared" si="18"/>
        <v>0.50456521739130433</v>
      </c>
      <c r="H39" s="37"/>
      <c r="L39" s="38" t="s">
        <v>42</v>
      </c>
      <c r="M39" s="41">
        <f t="shared" ref="M39:R39" si="20">M22/$R22</f>
        <v>0.2</v>
      </c>
      <c r="N39" s="41">
        <f t="shared" si="20"/>
        <v>0.3</v>
      </c>
      <c r="O39" s="41">
        <f t="shared" si="20"/>
        <v>0.2</v>
      </c>
      <c r="P39" s="41">
        <f t="shared" si="20"/>
        <v>0.15</v>
      </c>
      <c r="Q39" s="41">
        <f t="shared" si="20"/>
        <v>0.15</v>
      </c>
      <c r="R39" s="42">
        <f t="shared" si="20"/>
        <v>1</v>
      </c>
    </row>
    <row r="40" spans="2:18">
      <c r="B40" s="38" t="s">
        <v>43</v>
      </c>
      <c r="C40" s="39">
        <f t="shared" si="18"/>
        <v>0</v>
      </c>
      <c r="D40" s="39">
        <f t="shared" si="18"/>
        <v>1</v>
      </c>
      <c r="E40" s="39">
        <f t="shared" si="18"/>
        <v>0.49275362318840582</v>
      </c>
      <c r="F40" s="39">
        <f t="shared" si="18"/>
        <v>0.50456521739130433</v>
      </c>
      <c r="G40" s="39">
        <f t="shared" si="18"/>
        <v>0.50456521739130433</v>
      </c>
      <c r="H40" s="37"/>
      <c r="L40" s="38" t="s">
        <v>43</v>
      </c>
      <c r="M40" s="41">
        <f t="shared" ref="M40:R40" si="21">M23/$R23</f>
        <v>0</v>
      </c>
      <c r="N40" s="41">
        <f t="shared" si="21"/>
        <v>0.4</v>
      </c>
      <c r="O40" s="41">
        <f t="shared" si="21"/>
        <v>0.2</v>
      </c>
      <c r="P40" s="41">
        <f t="shared" si="21"/>
        <v>0.2</v>
      </c>
      <c r="Q40" s="41">
        <f t="shared" si="21"/>
        <v>0.2</v>
      </c>
      <c r="R40" s="42">
        <f t="shared" si="21"/>
        <v>1</v>
      </c>
    </row>
    <row r="41" spans="2:18">
      <c r="B41" s="38" t="s">
        <v>44</v>
      </c>
      <c r="C41" s="39">
        <f t="shared" si="18"/>
        <v>0.6376811594202898</v>
      </c>
      <c r="D41" s="39">
        <f t="shared" si="18"/>
        <v>1</v>
      </c>
      <c r="E41" s="39">
        <f t="shared" si="18"/>
        <v>0.65700483091787432</v>
      </c>
      <c r="F41" s="39">
        <f t="shared" si="18"/>
        <v>0.50456521739130433</v>
      </c>
      <c r="G41" s="39">
        <f t="shared" si="18"/>
        <v>0.50456521739130433</v>
      </c>
      <c r="H41" s="37"/>
      <c r="L41" s="38" t="s">
        <v>44</v>
      </c>
      <c r="M41" s="41">
        <f t="shared" ref="M41:R41" si="22">M24/$R24</f>
        <v>0.2</v>
      </c>
      <c r="N41" s="41">
        <f t="shared" si="22"/>
        <v>0.30000000000000004</v>
      </c>
      <c r="O41" s="41">
        <f t="shared" si="22"/>
        <v>0.2</v>
      </c>
      <c r="P41" s="41">
        <f t="shared" si="22"/>
        <v>0.15000000000000002</v>
      </c>
      <c r="Q41" s="41">
        <f t="shared" si="22"/>
        <v>0.15000000000000002</v>
      </c>
      <c r="R41" s="42">
        <f t="shared" si="22"/>
        <v>1</v>
      </c>
    </row>
    <row r="42" spans="2:18">
      <c r="B42" s="38" t="s">
        <v>45</v>
      </c>
      <c r="C42" s="39">
        <f t="shared" si="18"/>
        <v>0.51505016722408026</v>
      </c>
      <c r="D42" s="39">
        <f t="shared" si="18"/>
        <v>1</v>
      </c>
      <c r="E42" s="39">
        <f t="shared" si="18"/>
        <v>0.90969899665551834</v>
      </c>
      <c r="F42" s="39">
        <f t="shared" si="18"/>
        <v>0.31050167224080266</v>
      </c>
      <c r="G42" s="39">
        <f t="shared" si="18"/>
        <v>0.31050167224080266</v>
      </c>
      <c r="H42" s="37"/>
      <c r="L42" s="38" t="s">
        <v>45</v>
      </c>
      <c r="M42" s="41">
        <f t="shared" ref="M42:R42" si="23">M25/$R25</f>
        <v>0.17499999999999999</v>
      </c>
      <c r="N42" s="41">
        <f t="shared" si="23"/>
        <v>0.32500000000000001</v>
      </c>
      <c r="O42" s="41">
        <f t="shared" si="23"/>
        <v>0.3</v>
      </c>
      <c r="P42" s="41">
        <f t="shared" si="23"/>
        <v>0.1</v>
      </c>
      <c r="Q42" s="41">
        <f t="shared" si="23"/>
        <v>0.1</v>
      </c>
      <c r="R42" s="42">
        <f t="shared" si="23"/>
        <v>1</v>
      </c>
    </row>
    <row r="43" spans="2:18">
      <c r="B43" s="38" t="s">
        <v>46</v>
      </c>
      <c r="C43" s="39">
        <f t="shared" si="18"/>
        <v>0</v>
      </c>
      <c r="D43" s="39">
        <f t="shared" si="18"/>
        <v>1</v>
      </c>
      <c r="E43" s="39">
        <f t="shared" si="18"/>
        <v>0</v>
      </c>
      <c r="F43" s="39">
        <f t="shared" si="18"/>
        <v>0.50456521739130433</v>
      </c>
      <c r="G43" s="39">
        <f t="shared" si="18"/>
        <v>0.50456521739130433</v>
      </c>
      <c r="H43" s="37"/>
      <c r="L43" s="38" t="s">
        <v>46</v>
      </c>
      <c r="M43" s="41">
        <f t="shared" ref="M43:R43" si="24">M26/$R26</f>
        <v>0</v>
      </c>
      <c r="N43" s="41">
        <f t="shared" si="24"/>
        <v>0.5</v>
      </c>
      <c r="O43" s="41">
        <f t="shared" si="24"/>
        <v>0</v>
      </c>
      <c r="P43" s="41">
        <f t="shared" si="24"/>
        <v>0.25</v>
      </c>
      <c r="Q43" s="41">
        <f t="shared" si="24"/>
        <v>0.25</v>
      </c>
      <c r="R43" s="42">
        <f t="shared" si="24"/>
        <v>1</v>
      </c>
    </row>
    <row r="44" spans="2:18">
      <c r="B44" s="38" t="s">
        <v>47</v>
      </c>
      <c r="C44" s="39">
        <f t="shared" si="18"/>
        <v>0.63768115942028991</v>
      </c>
      <c r="D44" s="39">
        <f t="shared" si="18"/>
        <v>1</v>
      </c>
      <c r="E44" s="39">
        <f t="shared" si="18"/>
        <v>0.65700483091787443</v>
      </c>
      <c r="F44" s="39">
        <f t="shared" si="18"/>
        <v>0.50456521739130422</v>
      </c>
      <c r="G44" s="39">
        <f t="shared" si="18"/>
        <v>0.50456521739130422</v>
      </c>
      <c r="H44" s="37"/>
      <c r="L44" s="38" t="s">
        <v>47</v>
      </c>
      <c r="M44" s="41">
        <f t="shared" ref="M44:R44" si="25">M27/$R27</f>
        <v>0.2</v>
      </c>
      <c r="N44" s="41">
        <f t="shared" si="25"/>
        <v>0.29999999999999993</v>
      </c>
      <c r="O44" s="41">
        <f t="shared" si="25"/>
        <v>0.2</v>
      </c>
      <c r="P44" s="41">
        <f t="shared" si="25"/>
        <v>0.14999999999999997</v>
      </c>
      <c r="Q44" s="41">
        <f t="shared" si="25"/>
        <v>0.14999999999999997</v>
      </c>
      <c r="R44" s="42">
        <f t="shared" si="25"/>
        <v>1</v>
      </c>
    </row>
    <row r="45" spans="2:18">
      <c r="B45" s="38" t="s">
        <v>48</v>
      </c>
      <c r="C45" s="39">
        <f t="shared" si="18"/>
        <v>0.25</v>
      </c>
      <c r="D45" s="39">
        <f t="shared" si="18"/>
        <v>1</v>
      </c>
      <c r="E45" s="39">
        <f t="shared" si="18"/>
        <v>0.75</v>
      </c>
      <c r="F45" s="39">
        <f t="shared" si="18"/>
        <v>0.25</v>
      </c>
      <c r="G45" s="39">
        <f t="shared" si="18"/>
        <v>0.25</v>
      </c>
      <c r="H45" s="37"/>
      <c r="L45" s="38" t="s">
        <v>48</v>
      </c>
      <c r="M45" s="41">
        <f t="shared" ref="M45:R45" si="26">M28/$R28</f>
        <v>0.10380350297975351</v>
      </c>
      <c r="N45" s="41">
        <f t="shared" si="26"/>
        <v>0.39716122879210042</v>
      </c>
      <c r="O45" s="41">
        <f t="shared" si="26"/>
        <v>0.30225137632339993</v>
      </c>
      <c r="P45" s="41">
        <f t="shared" si="26"/>
        <v>9.8391945952372994E-2</v>
      </c>
      <c r="Q45" s="41">
        <f t="shared" si="26"/>
        <v>9.8391945952372994E-2</v>
      </c>
      <c r="R45" s="42">
        <f t="shared" si="26"/>
        <v>1</v>
      </c>
    </row>
    <row r="46" spans="2:18">
      <c r="B46" s="38" t="s">
        <v>49</v>
      </c>
      <c r="C46" s="39">
        <f t="shared" si="18"/>
        <v>0.66666666666666663</v>
      </c>
      <c r="D46" s="39">
        <f t="shared" si="18"/>
        <v>1</v>
      </c>
      <c r="E46" s="39">
        <f t="shared" si="18"/>
        <v>0.66666666666666663</v>
      </c>
      <c r="F46" s="39">
        <f t="shared" si="18"/>
        <v>0.5</v>
      </c>
      <c r="G46" s="39">
        <f t="shared" si="18"/>
        <v>0.5</v>
      </c>
      <c r="H46" s="37"/>
      <c r="L46" s="38" t="s">
        <v>49</v>
      </c>
      <c r="M46" s="41">
        <f t="shared" ref="M46:R46" si="27">M29/$R29</f>
        <v>0.20716064045760602</v>
      </c>
      <c r="N46" s="41">
        <f t="shared" si="27"/>
        <v>0.29723048413482606</v>
      </c>
      <c r="O46" s="41">
        <f t="shared" si="27"/>
        <v>0.201067680444147</v>
      </c>
      <c r="P46" s="41">
        <f t="shared" si="27"/>
        <v>0.14727059748171042</v>
      </c>
      <c r="Q46" s="41">
        <f t="shared" si="27"/>
        <v>0.14727059748171042</v>
      </c>
      <c r="R46" s="42">
        <f t="shared" si="27"/>
        <v>1</v>
      </c>
    </row>
    <row r="47" spans="2:18">
      <c r="B47" s="38" t="s">
        <v>50</v>
      </c>
      <c r="C47" s="39">
        <f t="shared" si="18"/>
        <v>0.54658385093167716</v>
      </c>
      <c r="D47" s="39">
        <f t="shared" si="18"/>
        <v>1</v>
      </c>
      <c r="E47" s="39">
        <f t="shared" si="18"/>
        <v>0.56314699792960665</v>
      </c>
      <c r="F47" s="39">
        <f t="shared" si="18"/>
        <v>0.36040372670807452</v>
      </c>
      <c r="G47" s="39">
        <f t="shared" si="18"/>
        <v>0.36040372670807452</v>
      </c>
      <c r="H47" s="37"/>
      <c r="L47" s="38" t="s">
        <v>50</v>
      </c>
      <c r="M47" s="41">
        <f t="shared" ref="M47:R47" si="28">M30/$R30</f>
        <v>0.2</v>
      </c>
      <c r="N47" s="41">
        <f t="shared" si="28"/>
        <v>0.35</v>
      </c>
      <c r="O47" s="41">
        <f t="shared" si="28"/>
        <v>0.2</v>
      </c>
      <c r="P47" s="41">
        <f t="shared" si="28"/>
        <v>0.125</v>
      </c>
      <c r="Q47" s="41">
        <f t="shared" si="28"/>
        <v>0.125</v>
      </c>
      <c r="R47" s="42">
        <f t="shared" si="28"/>
        <v>1</v>
      </c>
    </row>
    <row r="48" spans="2:18">
      <c r="B48" s="38" t="s">
        <v>59</v>
      </c>
      <c r="C48" s="39">
        <f t="shared" si="18"/>
        <v>0</v>
      </c>
      <c r="D48" s="39">
        <f t="shared" si="18"/>
        <v>1</v>
      </c>
      <c r="E48" s="39">
        <f t="shared" si="18"/>
        <v>0</v>
      </c>
      <c r="F48" s="39">
        <f t="shared" si="18"/>
        <v>0.2142857142857143</v>
      </c>
      <c r="G48" s="39">
        <f t="shared" si="18"/>
        <v>0.2142857142857143</v>
      </c>
      <c r="H48" s="37"/>
      <c r="L48" s="38" t="s">
        <v>51</v>
      </c>
      <c r="M48" s="41">
        <f t="shared" ref="M48:R48" si="29">M31/$R31</f>
        <v>0</v>
      </c>
      <c r="N48" s="41">
        <f t="shared" si="29"/>
        <v>0.70190521449863907</v>
      </c>
      <c r="O48" s="41">
        <f t="shared" si="29"/>
        <v>0</v>
      </c>
      <c r="P48" s="41">
        <f t="shared" si="29"/>
        <v>0.14904739275068041</v>
      </c>
      <c r="Q48" s="41">
        <f t="shared" si="29"/>
        <v>0.14904739275068041</v>
      </c>
      <c r="R48" s="42">
        <f t="shared" si="29"/>
        <v>1</v>
      </c>
    </row>
    <row r="49" spans="2:18">
      <c r="B49" s="38" t="s">
        <v>60</v>
      </c>
      <c r="C49" s="39">
        <f t="shared" si="18"/>
        <v>0</v>
      </c>
      <c r="D49" s="39">
        <f t="shared" si="18"/>
        <v>1</v>
      </c>
      <c r="E49" s="39">
        <f t="shared" si="18"/>
        <v>0.75</v>
      </c>
      <c r="F49" s="39">
        <f t="shared" si="18"/>
        <v>0.375</v>
      </c>
      <c r="G49" s="39">
        <f t="shared" si="18"/>
        <v>0.375</v>
      </c>
      <c r="H49" s="37"/>
      <c r="L49" s="38" t="s">
        <v>52</v>
      </c>
      <c r="M49" s="41">
        <f t="shared" ref="M49:R49" si="30">M32/$R32</f>
        <v>0</v>
      </c>
      <c r="N49" s="41">
        <f t="shared" si="30"/>
        <v>0.39932218356073745</v>
      </c>
      <c r="O49" s="41">
        <f t="shared" si="30"/>
        <v>0.30389592645982594</v>
      </c>
      <c r="P49" s="41">
        <f t="shared" si="30"/>
        <v>0.14839094498971825</v>
      </c>
      <c r="Q49" s="41">
        <f t="shared" si="30"/>
        <v>0.14839094498971825</v>
      </c>
      <c r="R49" s="42">
        <f t="shared" si="30"/>
        <v>1</v>
      </c>
    </row>
    <row r="50" spans="2:18">
      <c r="B50" s="38" t="s">
        <v>53</v>
      </c>
      <c r="C50" s="39">
        <f t="shared" si="18"/>
        <v>0.66666666666666663</v>
      </c>
      <c r="D50" s="39">
        <f t="shared" si="18"/>
        <v>1</v>
      </c>
      <c r="E50" s="39">
        <f t="shared" si="18"/>
        <v>0.66666666666666663</v>
      </c>
      <c r="F50" s="39">
        <f t="shared" si="18"/>
        <v>0.5</v>
      </c>
      <c r="G50" s="39">
        <f t="shared" si="18"/>
        <v>0.5</v>
      </c>
      <c r="H50" s="37"/>
      <c r="L50" s="38" t="s">
        <v>53</v>
      </c>
      <c r="M50" s="41">
        <f t="shared" ref="M50:R50" si="31">M33/$R33</f>
        <v>0.20716064045760602</v>
      </c>
      <c r="N50" s="41">
        <f t="shared" si="31"/>
        <v>0.29723048413482606</v>
      </c>
      <c r="O50" s="41">
        <f t="shared" si="31"/>
        <v>0.201067680444147</v>
      </c>
      <c r="P50" s="41">
        <f t="shared" si="31"/>
        <v>0.14727059748171042</v>
      </c>
      <c r="Q50" s="41">
        <f t="shared" si="31"/>
        <v>0.14727059748171042</v>
      </c>
      <c r="R50" s="42">
        <f t="shared" si="31"/>
        <v>1</v>
      </c>
    </row>
    <row r="51" spans="2:18">
      <c r="B51" s="38" t="s">
        <v>54</v>
      </c>
      <c r="C51" s="39">
        <f t="shared" si="18"/>
        <v>0.6376811594202898</v>
      </c>
      <c r="D51" s="39">
        <f t="shared" si="18"/>
        <v>1</v>
      </c>
      <c r="E51" s="39">
        <f t="shared" si="18"/>
        <v>0.65700483091787443</v>
      </c>
      <c r="F51" s="39">
        <f t="shared" si="18"/>
        <v>0.49275362318840582</v>
      </c>
      <c r="G51" s="39">
        <f t="shared" si="18"/>
        <v>0.52173913043478259</v>
      </c>
      <c r="H51" s="37"/>
      <c r="L51" s="38" t="s">
        <v>54</v>
      </c>
      <c r="M51" s="41">
        <f t="shared" ref="M51:R51" si="32">M34/$R34</f>
        <v>0.2</v>
      </c>
      <c r="N51" s="41">
        <f t="shared" si="32"/>
        <v>0.3</v>
      </c>
      <c r="O51" s="41">
        <f t="shared" si="32"/>
        <v>0.2</v>
      </c>
      <c r="P51" s="41">
        <f t="shared" si="32"/>
        <v>0.15</v>
      </c>
      <c r="Q51" s="41">
        <f t="shared" si="32"/>
        <v>0.15</v>
      </c>
      <c r="R51" s="42">
        <f t="shared" si="32"/>
        <v>1</v>
      </c>
    </row>
    <row r="52" spans="2:18">
      <c r="B52" s="38" t="s">
        <v>55</v>
      </c>
      <c r="C52" s="39">
        <f t="shared" si="18"/>
        <v>0.9565217391304347</v>
      </c>
      <c r="D52" s="39">
        <f t="shared" si="18"/>
        <v>1</v>
      </c>
      <c r="E52" s="39">
        <f t="shared" si="18"/>
        <v>0.98550724637681164</v>
      </c>
      <c r="F52" s="39">
        <f t="shared" si="18"/>
        <v>0.50456521739130433</v>
      </c>
      <c r="G52" s="39">
        <f t="shared" si="18"/>
        <v>0.50456521739130433</v>
      </c>
      <c r="H52" s="37"/>
      <c r="L52" s="38" t="s">
        <v>55</v>
      </c>
      <c r="M52" s="41">
        <f t="shared" ref="M52:R52" si="33">M35/$R35</f>
        <v>0.25</v>
      </c>
      <c r="N52" s="41">
        <f t="shared" si="33"/>
        <v>0.25</v>
      </c>
      <c r="O52" s="41">
        <f t="shared" si="33"/>
        <v>0.25</v>
      </c>
      <c r="P52" s="41">
        <f t="shared" si="33"/>
        <v>0.125</v>
      </c>
      <c r="Q52" s="41">
        <f t="shared" si="33"/>
        <v>0.125</v>
      </c>
      <c r="R52" s="42">
        <f t="shared" si="33"/>
        <v>1</v>
      </c>
    </row>
    <row r="53" spans="2:18">
      <c r="M53" s="25"/>
      <c r="N53" s="25"/>
      <c r="O53" s="25"/>
      <c r="P53" s="25"/>
      <c r="Q53" s="25"/>
      <c r="R53" s="25"/>
    </row>
    <row r="54" spans="2:18">
      <c r="B54" s="38" t="s">
        <v>66</v>
      </c>
      <c r="C54" s="38" t="s">
        <v>36</v>
      </c>
      <c r="D54" s="38" t="s">
        <v>37</v>
      </c>
      <c r="E54" s="38" t="s">
        <v>38</v>
      </c>
      <c r="F54" s="38" t="s">
        <v>56</v>
      </c>
      <c r="G54" s="38" t="s">
        <v>57</v>
      </c>
      <c r="H54" s="36"/>
      <c r="L54" s="25"/>
      <c r="M54" s="25"/>
      <c r="N54" s="25"/>
      <c r="O54" s="25"/>
      <c r="P54" s="25"/>
      <c r="Q54" s="25"/>
      <c r="R54" s="25" t="s">
        <v>64</v>
      </c>
    </row>
    <row r="55" spans="2:18">
      <c r="B55" s="38" t="s">
        <v>62</v>
      </c>
      <c r="C55" s="39">
        <f>M4/$N4</f>
        <v>0.83333333333333337</v>
      </c>
      <c r="D55" s="39">
        <f>N4/$N4</f>
        <v>1</v>
      </c>
      <c r="E55" s="39">
        <f>O4/$N4</f>
        <v>0.83333333333333337</v>
      </c>
      <c r="F55" s="39">
        <f>P4/$N4</f>
        <v>0.66666666666666674</v>
      </c>
      <c r="G55" s="39">
        <f>Q4/$N4</f>
        <v>0.66666666666666674</v>
      </c>
      <c r="L55" s="25"/>
      <c r="M55" s="40"/>
    </row>
    <row r="56" spans="2:18">
      <c r="B56" s="38" t="s">
        <v>42</v>
      </c>
      <c r="C56" s="39">
        <f t="shared" ref="C56:C69" si="34">M5/$N5</f>
        <v>0.66666666666666663</v>
      </c>
      <c r="D56" s="39">
        <f t="shared" ref="D56:D69" si="35">N5/$N5</f>
        <v>1</v>
      </c>
      <c r="E56" s="39">
        <f t="shared" ref="E56:E69" si="36">O5/$N5</f>
        <v>0.66666666666666663</v>
      </c>
      <c r="F56" s="39">
        <f t="shared" ref="F56:F69" si="37">P5/$N5</f>
        <v>1</v>
      </c>
      <c r="G56" s="39">
        <f t="shared" ref="G56:G69" si="38">Q5/$N5</f>
        <v>1</v>
      </c>
      <c r="L56" s="25"/>
    </row>
    <row r="57" spans="2:18">
      <c r="B57" s="38" t="s">
        <v>43</v>
      </c>
      <c r="C57" s="39">
        <f t="shared" si="34"/>
        <v>0</v>
      </c>
      <c r="D57" s="39">
        <f t="shared" si="35"/>
        <v>1</v>
      </c>
      <c r="E57" s="39">
        <f t="shared" si="36"/>
        <v>0.5</v>
      </c>
      <c r="F57" s="39">
        <f t="shared" si="37"/>
        <v>1</v>
      </c>
      <c r="G57" s="39">
        <f t="shared" si="38"/>
        <v>1</v>
      </c>
      <c r="L57" s="25"/>
    </row>
    <row r="58" spans="2:18">
      <c r="B58" s="38" t="s">
        <v>44</v>
      </c>
      <c r="C58" s="39">
        <f t="shared" si="34"/>
        <v>0.66666666666666663</v>
      </c>
      <c r="D58" s="39">
        <f t="shared" si="35"/>
        <v>1</v>
      </c>
      <c r="E58" s="39">
        <f t="shared" si="36"/>
        <v>0.66666666666666663</v>
      </c>
      <c r="F58" s="39">
        <f t="shared" si="37"/>
        <v>1</v>
      </c>
      <c r="G58" s="39">
        <f t="shared" si="38"/>
        <v>1</v>
      </c>
      <c r="L58" s="25"/>
    </row>
    <row r="59" spans="2:18">
      <c r="B59" s="38" t="s">
        <v>45</v>
      </c>
      <c r="C59" s="39">
        <f t="shared" si="34"/>
        <v>0.53846153846153844</v>
      </c>
      <c r="D59" s="39">
        <f t="shared" si="35"/>
        <v>1</v>
      </c>
      <c r="E59" s="39">
        <f t="shared" si="36"/>
        <v>0.92307692307692302</v>
      </c>
      <c r="F59" s="39">
        <f t="shared" si="37"/>
        <v>0.61538461538461542</v>
      </c>
      <c r="G59" s="39">
        <f t="shared" si="38"/>
        <v>0.61538461538461542</v>
      </c>
      <c r="L59" s="25"/>
    </row>
    <row r="60" spans="2:18">
      <c r="B60" s="38" t="s">
        <v>46</v>
      </c>
      <c r="C60" s="39">
        <f t="shared" si="34"/>
        <v>0</v>
      </c>
      <c r="D60" s="39">
        <f t="shared" si="35"/>
        <v>1</v>
      </c>
      <c r="E60" s="39">
        <f t="shared" si="36"/>
        <v>0</v>
      </c>
      <c r="F60" s="39">
        <f t="shared" si="37"/>
        <v>1</v>
      </c>
      <c r="G60" s="39">
        <f t="shared" si="38"/>
        <v>1</v>
      </c>
      <c r="L60" s="25"/>
    </row>
    <row r="61" spans="2:18">
      <c r="B61" s="38" t="s">
        <v>47</v>
      </c>
      <c r="C61" s="39">
        <f t="shared" si="34"/>
        <v>0.66666666666666674</v>
      </c>
      <c r="D61" s="39">
        <f t="shared" si="35"/>
        <v>1</v>
      </c>
      <c r="E61" s="39">
        <f t="shared" si="36"/>
        <v>0.66666666666666674</v>
      </c>
      <c r="F61" s="39">
        <f t="shared" si="37"/>
        <v>1</v>
      </c>
      <c r="G61" s="39">
        <f t="shared" si="38"/>
        <v>1</v>
      </c>
      <c r="L61" s="25"/>
    </row>
    <row r="62" spans="2:18">
      <c r="B62" s="38" t="s">
        <v>48</v>
      </c>
      <c r="C62" s="39">
        <f t="shared" si="34"/>
        <v>0.26136363636363635</v>
      </c>
      <c r="D62" s="39">
        <f t="shared" si="35"/>
        <v>1</v>
      </c>
      <c r="E62" s="39">
        <f t="shared" si="36"/>
        <v>0.76102941176470595</v>
      </c>
      <c r="F62" s="39">
        <f t="shared" si="37"/>
        <v>0.49547608789314951</v>
      </c>
      <c r="G62" s="39">
        <f t="shared" si="38"/>
        <v>0.49547608789314951</v>
      </c>
      <c r="L62" s="25"/>
    </row>
    <row r="63" spans="2:18">
      <c r="B63" s="38" t="s">
        <v>49</v>
      </c>
      <c r="C63" s="39">
        <f t="shared" si="34"/>
        <v>0.69696969696969691</v>
      </c>
      <c r="D63" s="39">
        <f t="shared" si="35"/>
        <v>1</v>
      </c>
      <c r="E63" s="39">
        <f t="shared" si="36"/>
        <v>0.67647058823529405</v>
      </c>
      <c r="F63" s="39">
        <f t="shared" si="37"/>
        <v>0.99095217578629891</v>
      </c>
      <c r="G63" s="39">
        <f t="shared" si="38"/>
        <v>0.99095217578629891</v>
      </c>
      <c r="L63" s="25"/>
    </row>
    <row r="64" spans="2:18">
      <c r="B64" s="38" t="s">
        <v>50</v>
      </c>
      <c r="C64" s="39">
        <f t="shared" si="34"/>
        <v>0.57142857142857151</v>
      </c>
      <c r="D64" s="39">
        <f t="shared" si="35"/>
        <v>1</v>
      </c>
      <c r="E64" s="39">
        <f t="shared" si="36"/>
        <v>0.57142857142857151</v>
      </c>
      <c r="F64" s="39">
        <f t="shared" si="37"/>
        <v>0.71428571428571441</v>
      </c>
      <c r="G64" s="39">
        <f t="shared" si="38"/>
        <v>0.71428571428571441</v>
      </c>
      <c r="L64" s="25"/>
    </row>
    <row r="65" spans="2:12">
      <c r="B65" s="38" t="s">
        <v>59</v>
      </c>
      <c r="C65" s="39">
        <f t="shared" si="34"/>
        <v>0</v>
      </c>
      <c r="D65" s="39">
        <f t="shared" si="35"/>
        <v>1</v>
      </c>
      <c r="E65" s="39">
        <f t="shared" si="36"/>
        <v>0</v>
      </c>
      <c r="F65" s="39">
        <f t="shared" si="37"/>
        <v>0.4246937896226996</v>
      </c>
      <c r="G65" s="39">
        <f t="shared" si="38"/>
        <v>0.4246937896226996</v>
      </c>
      <c r="L65" s="25"/>
    </row>
    <row r="66" spans="2:12">
      <c r="B66" s="38" t="s">
        <v>60</v>
      </c>
      <c r="C66" s="39">
        <f t="shared" si="34"/>
        <v>0</v>
      </c>
      <c r="D66" s="39">
        <f t="shared" si="35"/>
        <v>1</v>
      </c>
      <c r="E66" s="39">
        <f t="shared" si="36"/>
        <v>0.76102941176470584</v>
      </c>
      <c r="F66" s="39">
        <f t="shared" si="37"/>
        <v>0.74321413183972418</v>
      </c>
      <c r="G66" s="39">
        <f t="shared" si="38"/>
        <v>0.74321413183972418</v>
      </c>
      <c r="L66" s="25"/>
    </row>
    <row r="67" spans="2:12">
      <c r="B67" s="38" t="s">
        <v>53</v>
      </c>
      <c r="C67" s="39">
        <f t="shared" si="34"/>
        <v>0.69696969696969691</v>
      </c>
      <c r="D67" s="39">
        <f t="shared" si="35"/>
        <v>1</v>
      </c>
      <c r="E67" s="39">
        <f t="shared" si="36"/>
        <v>0.67647058823529405</v>
      </c>
      <c r="F67" s="39">
        <f t="shared" si="37"/>
        <v>0.99095217578629891</v>
      </c>
      <c r="G67" s="39">
        <f t="shared" si="38"/>
        <v>0.99095217578629891</v>
      </c>
      <c r="L67" s="25"/>
    </row>
    <row r="68" spans="2:12">
      <c r="B68" s="38" t="s">
        <v>54</v>
      </c>
      <c r="C68" s="39">
        <f t="shared" si="34"/>
        <v>0.66666666666666663</v>
      </c>
      <c r="D68" s="39">
        <f t="shared" si="35"/>
        <v>1</v>
      </c>
      <c r="E68" s="39">
        <f t="shared" si="36"/>
        <v>0.66666666666666663</v>
      </c>
      <c r="F68" s="39">
        <f t="shared" si="37"/>
        <v>1</v>
      </c>
      <c r="G68" s="39">
        <f t="shared" si="38"/>
        <v>1</v>
      </c>
      <c r="L68" s="25"/>
    </row>
    <row r="69" spans="2:12">
      <c r="B69" s="38" t="s">
        <v>55</v>
      </c>
      <c r="C69" s="39">
        <f t="shared" si="34"/>
        <v>1</v>
      </c>
      <c r="D69" s="39">
        <f t="shared" si="35"/>
        <v>1</v>
      </c>
      <c r="E69" s="39">
        <f t="shared" si="36"/>
        <v>1</v>
      </c>
      <c r="F69" s="39">
        <f t="shared" si="37"/>
        <v>1</v>
      </c>
      <c r="G69" s="39">
        <f t="shared" si="38"/>
        <v>1</v>
      </c>
      <c r="L69" s="25"/>
    </row>
  </sheetData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D4:L106"/>
  <sheetViews>
    <sheetView showGridLines="0" workbookViewId="0">
      <selection activeCell="F7" sqref="F7"/>
    </sheetView>
  </sheetViews>
  <sheetFormatPr defaultRowHeight="16.5"/>
  <sheetData>
    <row r="4" spans="4:12">
      <c r="I4" s="1" t="s">
        <v>67</v>
      </c>
      <c r="J4" s="1" t="s">
        <v>67</v>
      </c>
      <c r="K4" s="1" t="s">
        <v>68</v>
      </c>
      <c r="L4" s="1" t="s">
        <v>69</v>
      </c>
    </row>
    <row r="5" spans="4:12">
      <c r="D5" s="1" t="s">
        <v>1</v>
      </c>
      <c r="E5" s="1" t="s">
        <v>30</v>
      </c>
      <c r="I5" s="1">
        <v>100</v>
      </c>
      <c r="J5" s="1">
        <v>100</v>
      </c>
      <c r="K5" s="1">
        <v>139.26</v>
      </c>
      <c r="L5" s="43">
        <f t="shared" ref="L5:L39" si="0">K5-$K$5</f>
        <v>0</v>
      </c>
    </row>
    <row r="6" spans="4:12">
      <c r="D6" s="2">
        <v>100</v>
      </c>
      <c r="E6" s="3">
        <v>69.63</v>
      </c>
      <c r="F6" s="6">
        <f>ROUND(E6,2)</f>
        <v>69.63</v>
      </c>
      <c r="I6" s="1">
        <v>100</v>
      </c>
      <c r="J6" s="1">
        <v>99</v>
      </c>
      <c r="K6" s="1">
        <v>138.13</v>
      </c>
      <c r="L6" s="43">
        <f t="shared" si="0"/>
        <v>-1.1299999999999955</v>
      </c>
    </row>
    <row r="7" spans="4:12">
      <c r="D7" s="2">
        <v>99</v>
      </c>
      <c r="E7" s="3">
        <v>68.5</v>
      </c>
      <c r="F7" s="6">
        <f t="shared" ref="F7:F70" si="1">ROUND(E7,2)</f>
        <v>68.5</v>
      </c>
      <c r="I7" s="1">
        <v>100</v>
      </c>
      <c r="J7" s="1">
        <v>98</v>
      </c>
      <c r="K7" s="1">
        <v>136.92000000000002</v>
      </c>
      <c r="L7" s="43">
        <f t="shared" si="0"/>
        <v>-2.339999999999975</v>
      </c>
    </row>
    <row r="8" spans="4:12">
      <c r="D8" s="2">
        <v>98</v>
      </c>
      <c r="E8" s="3">
        <v>67.290000000000006</v>
      </c>
      <c r="F8" s="6">
        <f t="shared" si="1"/>
        <v>67.290000000000006</v>
      </c>
      <c r="I8" s="1">
        <v>100</v>
      </c>
      <c r="J8" s="1">
        <v>97</v>
      </c>
      <c r="K8" s="1">
        <v>136.1</v>
      </c>
      <c r="L8" s="43">
        <f t="shared" si="0"/>
        <v>-3.1599999999999966</v>
      </c>
    </row>
    <row r="9" spans="4:12">
      <c r="D9" s="2">
        <v>97</v>
      </c>
      <c r="E9" s="3">
        <v>66.47</v>
      </c>
      <c r="F9" s="6">
        <f t="shared" si="1"/>
        <v>66.47</v>
      </c>
      <c r="I9" s="1">
        <v>100</v>
      </c>
      <c r="J9" s="1">
        <v>96</v>
      </c>
      <c r="K9" s="1">
        <v>135.45999999999998</v>
      </c>
      <c r="L9" s="43">
        <f t="shared" si="0"/>
        <v>-3.8000000000000114</v>
      </c>
    </row>
    <row r="10" spans="4:12">
      <c r="D10" s="4">
        <v>96</v>
      </c>
      <c r="E10" s="5">
        <v>65.83</v>
      </c>
      <c r="F10" s="6">
        <f t="shared" si="1"/>
        <v>65.83</v>
      </c>
      <c r="I10" s="1">
        <v>100</v>
      </c>
      <c r="J10" s="1">
        <v>95</v>
      </c>
      <c r="K10" s="1">
        <v>134.94999999999999</v>
      </c>
      <c r="L10" s="43">
        <f t="shared" si="0"/>
        <v>-4.3100000000000023</v>
      </c>
    </row>
    <row r="11" spans="4:12">
      <c r="D11" s="2">
        <v>95</v>
      </c>
      <c r="E11" s="3">
        <v>65.319999999999993</v>
      </c>
      <c r="F11" s="6">
        <f t="shared" si="1"/>
        <v>65.319999999999993</v>
      </c>
      <c r="I11" s="1">
        <v>98</v>
      </c>
      <c r="J11" s="1">
        <v>98</v>
      </c>
      <c r="K11" s="1">
        <v>134.58000000000001</v>
      </c>
      <c r="L11" s="43">
        <f t="shared" si="0"/>
        <v>-4.6799999999999784</v>
      </c>
    </row>
    <row r="12" spans="4:12">
      <c r="D12" s="2">
        <v>94</v>
      </c>
      <c r="E12" s="3">
        <v>64.81</v>
      </c>
      <c r="F12" s="6">
        <f t="shared" si="1"/>
        <v>64.81</v>
      </c>
      <c r="I12" s="1">
        <v>100</v>
      </c>
      <c r="J12" s="1">
        <v>94</v>
      </c>
      <c r="K12" s="1">
        <v>134.44</v>
      </c>
      <c r="L12" s="43">
        <f t="shared" si="0"/>
        <v>-4.8199999999999932</v>
      </c>
    </row>
    <row r="13" spans="4:12">
      <c r="D13" s="2">
        <v>93</v>
      </c>
      <c r="E13" s="3">
        <v>64.36</v>
      </c>
      <c r="F13" s="6">
        <f t="shared" si="1"/>
        <v>64.36</v>
      </c>
      <c r="I13" s="1">
        <v>100</v>
      </c>
      <c r="J13" s="1">
        <v>93</v>
      </c>
      <c r="K13" s="1">
        <v>133.99</v>
      </c>
      <c r="L13" s="43">
        <f t="shared" si="0"/>
        <v>-5.2699999999999818</v>
      </c>
    </row>
    <row r="14" spans="4:12">
      <c r="D14" s="2">
        <v>92</v>
      </c>
      <c r="E14" s="3">
        <v>63.92</v>
      </c>
      <c r="F14" s="6">
        <f t="shared" si="1"/>
        <v>63.92</v>
      </c>
      <c r="I14" s="1">
        <v>98</v>
      </c>
      <c r="J14" s="1">
        <v>97</v>
      </c>
      <c r="K14" s="1">
        <v>133.76</v>
      </c>
      <c r="L14" s="43">
        <f t="shared" si="0"/>
        <v>-5.5</v>
      </c>
    </row>
    <row r="15" spans="4:12">
      <c r="D15" s="2">
        <v>91</v>
      </c>
      <c r="E15" s="3">
        <v>63.53</v>
      </c>
      <c r="F15" s="6">
        <f t="shared" si="1"/>
        <v>63.53</v>
      </c>
      <c r="I15" s="1">
        <v>100</v>
      </c>
      <c r="J15" s="1">
        <v>92</v>
      </c>
      <c r="K15" s="1">
        <v>133.55000000000001</v>
      </c>
      <c r="L15" s="43">
        <f t="shared" si="0"/>
        <v>-5.7099999999999795</v>
      </c>
    </row>
    <row r="16" spans="4:12">
      <c r="D16" s="2">
        <v>90</v>
      </c>
      <c r="E16" s="3">
        <v>63.14</v>
      </c>
      <c r="F16" s="6">
        <f t="shared" si="1"/>
        <v>63.14</v>
      </c>
      <c r="I16" s="1">
        <v>100</v>
      </c>
      <c r="J16" s="1">
        <v>91</v>
      </c>
      <c r="K16" s="1">
        <v>133.16</v>
      </c>
      <c r="L16" s="43">
        <f t="shared" si="0"/>
        <v>-6.0999999999999943</v>
      </c>
    </row>
    <row r="17" spans="4:12">
      <c r="D17" s="4">
        <v>89</v>
      </c>
      <c r="E17" s="5">
        <v>62.78</v>
      </c>
      <c r="F17" s="6">
        <f t="shared" si="1"/>
        <v>62.78</v>
      </c>
      <c r="I17" s="1">
        <v>98</v>
      </c>
      <c r="J17" s="1">
        <v>96</v>
      </c>
      <c r="K17" s="1">
        <v>133.12</v>
      </c>
      <c r="L17" s="43">
        <f t="shared" si="0"/>
        <v>-6.1399999999999864</v>
      </c>
    </row>
    <row r="18" spans="4:12">
      <c r="D18" s="2">
        <v>88</v>
      </c>
      <c r="E18" s="3">
        <v>62.48</v>
      </c>
      <c r="F18" s="6">
        <f t="shared" si="1"/>
        <v>62.48</v>
      </c>
      <c r="I18" s="1">
        <v>100</v>
      </c>
      <c r="J18" s="1">
        <v>90</v>
      </c>
      <c r="K18" s="1">
        <v>132.76999999999998</v>
      </c>
      <c r="L18" s="43">
        <f t="shared" si="0"/>
        <v>-6.4900000000000091</v>
      </c>
    </row>
    <row r="19" spans="4:12">
      <c r="D19" s="2">
        <v>87</v>
      </c>
      <c r="E19" s="3">
        <v>62.18</v>
      </c>
      <c r="F19" s="6">
        <f t="shared" si="1"/>
        <v>62.18</v>
      </c>
      <c r="I19" s="1">
        <v>98</v>
      </c>
      <c r="J19" s="1">
        <v>95</v>
      </c>
      <c r="K19" s="1">
        <v>132.61000000000001</v>
      </c>
      <c r="L19" s="43">
        <f t="shared" si="0"/>
        <v>-6.6499999999999773</v>
      </c>
    </row>
    <row r="20" spans="4:12">
      <c r="D20" s="2">
        <v>86</v>
      </c>
      <c r="E20" s="3">
        <v>61.82</v>
      </c>
      <c r="F20" s="6">
        <f t="shared" si="1"/>
        <v>61.82</v>
      </c>
      <c r="I20" s="1">
        <v>98</v>
      </c>
      <c r="J20" s="1">
        <v>94</v>
      </c>
      <c r="K20" s="1">
        <v>132.10000000000002</v>
      </c>
      <c r="L20" s="43">
        <f t="shared" si="0"/>
        <v>-7.1599999999999682</v>
      </c>
    </row>
    <row r="21" spans="4:12">
      <c r="D21" s="2">
        <v>85</v>
      </c>
      <c r="E21" s="3">
        <v>61.48</v>
      </c>
      <c r="F21" s="6">
        <f t="shared" si="1"/>
        <v>61.48</v>
      </c>
      <c r="I21" s="1">
        <v>96</v>
      </c>
      <c r="J21" s="1">
        <v>96</v>
      </c>
      <c r="K21" s="1">
        <v>131.66</v>
      </c>
      <c r="L21" s="43">
        <f t="shared" si="0"/>
        <v>-7.5999999999999943</v>
      </c>
    </row>
    <row r="22" spans="4:12">
      <c r="D22" s="2">
        <v>84</v>
      </c>
      <c r="E22">
        <v>61.15</v>
      </c>
      <c r="F22" s="6">
        <f t="shared" si="1"/>
        <v>61.15</v>
      </c>
      <c r="I22" s="1">
        <v>98</v>
      </c>
      <c r="J22" s="1">
        <v>93</v>
      </c>
      <c r="K22" s="1">
        <v>131.65</v>
      </c>
      <c r="L22" s="43">
        <f t="shared" si="0"/>
        <v>-7.6099999999999852</v>
      </c>
    </row>
    <row r="23" spans="4:12">
      <c r="D23" s="2">
        <v>83</v>
      </c>
      <c r="E23">
        <v>60.8</v>
      </c>
      <c r="F23" s="6">
        <f t="shared" si="1"/>
        <v>60.8</v>
      </c>
      <c r="I23" s="1">
        <v>98</v>
      </c>
      <c r="J23" s="1">
        <v>92</v>
      </c>
      <c r="K23" s="1">
        <v>131.21</v>
      </c>
      <c r="L23" s="43">
        <f t="shared" si="0"/>
        <v>-8.0499999999999829</v>
      </c>
    </row>
    <row r="24" spans="4:12">
      <c r="D24" s="2">
        <v>82</v>
      </c>
      <c r="E24">
        <v>60.49</v>
      </c>
      <c r="F24" s="6">
        <f t="shared" si="1"/>
        <v>60.49</v>
      </c>
      <c r="I24" s="1">
        <v>96</v>
      </c>
      <c r="J24" s="1">
        <v>95</v>
      </c>
      <c r="K24" s="1">
        <v>131.14999999999998</v>
      </c>
      <c r="L24" s="43">
        <f t="shared" si="0"/>
        <v>-8.1100000000000136</v>
      </c>
    </row>
    <row r="25" spans="4:12">
      <c r="D25" s="2">
        <v>81</v>
      </c>
      <c r="E25">
        <v>60.21</v>
      </c>
      <c r="F25" s="6">
        <f t="shared" si="1"/>
        <v>60.21</v>
      </c>
      <c r="I25" s="1">
        <v>98</v>
      </c>
      <c r="J25" s="1">
        <v>91</v>
      </c>
      <c r="K25" s="1">
        <v>130.82</v>
      </c>
      <c r="L25" s="43">
        <f t="shared" si="0"/>
        <v>-8.4399999999999977</v>
      </c>
    </row>
    <row r="26" spans="4:12">
      <c r="D26" s="2">
        <v>80</v>
      </c>
      <c r="E26">
        <v>59.91</v>
      </c>
      <c r="F26" s="6">
        <f t="shared" si="1"/>
        <v>59.91</v>
      </c>
      <c r="I26" s="1">
        <v>96</v>
      </c>
      <c r="J26" s="1">
        <v>94</v>
      </c>
      <c r="K26" s="1">
        <v>130.63999999999999</v>
      </c>
      <c r="L26" s="43">
        <f t="shared" si="0"/>
        <v>-8.6200000000000045</v>
      </c>
    </row>
    <row r="27" spans="4:12">
      <c r="D27" s="2">
        <v>79</v>
      </c>
      <c r="E27">
        <v>59.62</v>
      </c>
      <c r="F27" s="6">
        <f t="shared" si="1"/>
        <v>59.62</v>
      </c>
      <c r="I27" s="1">
        <v>98</v>
      </c>
      <c r="J27" s="1">
        <v>90</v>
      </c>
      <c r="K27" s="1">
        <v>130.43</v>
      </c>
      <c r="L27" s="43">
        <f t="shared" si="0"/>
        <v>-8.8299999999999841</v>
      </c>
    </row>
    <row r="28" spans="4:12">
      <c r="D28" s="4">
        <v>78</v>
      </c>
      <c r="E28">
        <v>59.32</v>
      </c>
      <c r="F28" s="6">
        <f t="shared" si="1"/>
        <v>59.32</v>
      </c>
      <c r="I28" s="1">
        <v>96</v>
      </c>
      <c r="J28" s="1">
        <v>93</v>
      </c>
      <c r="K28" s="1">
        <v>130.19</v>
      </c>
      <c r="L28" s="43">
        <f t="shared" si="0"/>
        <v>-9.0699999999999932</v>
      </c>
    </row>
    <row r="29" spans="4:12">
      <c r="D29" s="2">
        <v>77</v>
      </c>
      <c r="E29">
        <v>59.01</v>
      </c>
      <c r="F29" s="6">
        <f t="shared" si="1"/>
        <v>59.01</v>
      </c>
      <c r="I29" s="1">
        <v>96</v>
      </c>
      <c r="J29" s="1">
        <v>92</v>
      </c>
      <c r="K29" s="1">
        <v>129.75</v>
      </c>
      <c r="L29" s="43">
        <f t="shared" si="0"/>
        <v>-9.5099999999999909</v>
      </c>
    </row>
    <row r="30" spans="4:12">
      <c r="D30" s="2">
        <v>76</v>
      </c>
      <c r="E30">
        <v>58.7</v>
      </c>
      <c r="F30" s="6">
        <f t="shared" si="1"/>
        <v>58.7</v>
      </c>
      <c r="I30" s="1">
        <v>94</v>
      </c>
      <c r="J30" s="1">
        <v>94</v>
      </c>
      <c r="K30" s="1">
        <v>129.62</v>
      </c>
      <c r="L30" s="43">
        <f t="shared" si="0"/>
        <v>-9.6399999999999864</v>
      </c>
    </row>
    <row r="31" spans="4:12">
      <c r="D31" s="2">
        <v>75</v>
      </c>
      <c r="E31">
        <v>58.42</v>
      </c>
      <c r="F31" s="6">
        <f t="shared" si="1"/>
        <v>58.42</v>
      </c>
      <c r="I31" s="1">
        <v>96</v>
      </c>
      <c r="J31" s="1">
        <v>91</v>
      </c>
      <c r="K31" s="1">
        <v>129.36000000000001</v>
      </c>
      <c r="L31" s="43">
        <f t="shared" si="0"/>
        <v>-9.8999999999999773</v>
      </c>
    </row>
    <row r="32" spans="4:12">
      <c r="D32" s="2">
        <v>74</v>
      </c>
      <c r="E32">
        <v>58.18</v>
      </c>
      <c r="F32" s="6">
        <f t="shared" si="1"/>
        <v>58.18</v>
      </c>
      <c r="I32" s="1">
        <v>94</v>
      </c>
      <c r="J32" s="1">
        <v>93</v>
      </c>
      <c r="K32" s="1">
        <v>129.17000000000002</v>
      </c>
      <c r="L32" s="43">
        <f t="shared" si="0"/>
        <v>-10.089999999999975</v>
      </c>
    </row>
    <row r="33" spans="4:12">
      <c r="D33" s="2">
        <v>73</v>
      </c>
      <c r="E33">
        <v>57.9</v>
      </c>
      <c r="F33" s="6">
        <f t="shared" si="1"/>
        <v>57.9</v>
      </c>
      <c r="I33" s="1">
        <v>96</v>
      </c>
      <c r="J33" s="1">
        <v>90</v>
      </c>
      <c r="K33" s="1">
        <v>128.97</v>
      </c>
      <c r="L33" s="43">
        <f t="shared" si="0"/>
        <v>-10.289999999999992</v>
      </c>
    </row>
    <row r="34" spans="4:12">
      <c r="D34" s="2">
        <v>72</v>
      </c>
      <c r="E34">
        <v>57.61</v>
      </c>
      <c r="F34" s="6">
        <f t="shared" si="1"/>
        <v>57.61</v>
      </c>
      <c r="I34" s="1">
        <v>94</v>
      </c>
      <c r="J34" s="1">
        <v>92</v>
      </c>
      <c r="K34" s="1">
        <v>128.73000000000002</v>
      </c>
      <c r="L34" s="43">
        <f t="shared" si="0"/>
        <v>-10.529999999999973</v>
      </c>
    </row>
    <row r="35" spans="4:12">
      <c r="D35" s="2">
        <v>71</v>
      </c>
      <c r="E35">
        <v>57.28</v>
      </c>
      <c r="F35" s="6">
        <f t="shared" si="1"/>
        <v>57.28</v>
      </c>
      <c r="I35" s="1">
        <v>94</v>
      </c>
      <c r="J35" s="1">
        <v>91</v>
      </c>
      <c r="K35" s="1">
        <v>128.34</v>
      </c>
      <c r="L35" s="43">
        <f t="shared" si="0"/>
        <v>-10.919999999999987</v>
      </c>
    </row>
    <row r="36" spans="4:12">
      <c r="D36" s="2">
        <v>70</v>
      </c>
      <c r="E36">
        <v>56.91</v>
      </c>
      <c r="F36" s="6">
        <f t="shared" si="1"/>
        <v>56.91</v>
      </c>
      <c r="I36" s="1">
        <v>94</v>
      </c>
      <c r="J36" s="1">
        <v>90</v>
      </c>
      <c r="K36" s="1">
        <v>127.95</v>
      </c>
      <c r="L36" s="43">
        <f t="shared" si="0"/>
        <v>-11.309999999999988</v>
      </c>
    </row>
    <row r="37" spans="4:12">
      <c r="D37" s="2">
        <v>69</v>
      </c>
      <c r="E37">
        <v>56.57</v>
      </c>
      <c r="F37" s="6">
        <f t="shared" si="1"/>
        <v>56.57</v>
      </c>
      <c r="I37" s="1">
        <v>92</v>
      </c>
      <c r="J37" s="1">
        <v>92</v>
      </c>
      <c r="K37" s="1">
        <v>127.84</v>
      </c>
      <c r="L37" s="43">
        <f t="shared" si="0"/>
        <v>-11.419999999999987</v>
      </c>
    </row>
    <row r="38" spans="4:12">
      <c r="D38" s="2">
        <v>68</v>
      </c>
      <c r="E38">
        <v>56.27</v>
      </c>
      <c r="F38" s="6">
        <f t="shared" si="1"/>
        <v>56.27</v>
      </c>
      <c r="I38" s="1">
        <v>92</v>
      </c>
      <c r="J38" s="1">
        <v>91</v>
      </c>
      <c r="K38" s="1">
        <v>127.45</v>
      </c>
      <c r="L38" s="43">
        <f t="shared" si="0"/>
        <v>-11.809999999999988</v>
      </c>
    </row>
    <row r="39" spans="4:12">
      <c r="D39" s="4">
        <v>67</v>
      </c>
      <c r="E39">
        <v>55.99</v>
      </c>
      <c r="F39" s="6">
        <f t="shared" si="1"/>
        <v>55.99</v>
      </c>
      <c r="I39" s="1">
        <v>92</v>
      </c>
      <c r="J39" s="1">
        <v>90</v>
      </c>
      <c r="K39" s="1">
        <v>127.06</v>
      </c>
      <c r="L39" s="43">
        <f t="shared" si="0"/>
        <v>-12.199999999999989</v>
      </c>
    </row>
    <row r="40" spans="4:12">
      <c r="D40" s="2">
        <v>66</v>
      </c>
      <c r="E40">
        <v>55.71</v>
      </c>
      <c r="F40" s="6">
        <f t="shared" si="1"/>
        <v>55.71</v>
      </c>
    </row>
    <row r="41" spans="4:12">
      <c r="D41" s="2">
        <v>65</v>
      </c>
      <c r="E41">
        <v>55.44</v>
      </c>
      <c r="F41" s="6">
        <f t="shared" si="1"/>
        <v>55.44</v>
      </c>
    </row>
    <row r="42" spans="4:12">
      <c r="D42" s="2">
        <v>64</v>
      </c>
      <c r="E42">
        <v>55.15</v>
      </c>
      <c r="F42" s="6">
        <f t="shared" si="1"/>
        <v>55.15</v>
      </c>
    </row>
    <row r="43" spans="4:12">
      <c r="D43" s="2">
        <v>63</v>
      </c>
      <c r="E43">
        <v>54.85</v>
      </c>
      <c r="F43" s="6">
        <f t="shared" si="1"/>
        <v>54.85</v>
      </c>
    </row>
    <row r="44" spans="4:12">
      <c r="D44" s="2">
        <v>62</v>
      </c>
      <c r="E44">
        <v>54.59</v>
      </c>
      <c r="F44" s="6">
        <f t="shared" si="1"/>
        <v>54.59</v>
      </c>
    </row>
    <row r="45" spans="4:12">
      <c r="D45" s="2">
        <v>61</v>
      </c>
      <c r="E45">
        <v>54.26</v>
      </c>
      <c r="F45" s="6">
        <f t="shared" si="1"/>
        <v>54.26</v>
      </c>
    </row>
    <row r="46" spans="4:12">
      <c r="D46" s="2">
        <v>60</v>
      </c>
      <c r="E46">
        <v>53.92</v>
      </c>
      <c r="F46" s="6">
        <f t="shared" si="1"/>
        <v>53.92</v>
      </c>
    </row>
    <row r="47" spans="4:12">
      <c r="D47" s="2">
        <v>59</v>
      </c>
      <c r="E47">
        <v>53.54</v>
      </c>
      <c r="F47" s="6">
        <f t="shared" si="1"/>
        <v>53.54</v>
      </c>
    </row>
    <row r="48" spans="4:12">
      <c r="D48" s="2">
        <v>58</v>
      </c>
      <c r="E48">
        <v>53.21</v>
      </c>
      <c r="F48" s="6">
        <f t="shared" si="1"/>
        <v>53.21</v>
      </c>
    </row>
    <row r="49" spans="4:6">
      <c r="D49" s="2">
        <v>57</v>
      </c>
      <c r="E49">
        <v>52.88</v>
      </c>
      <c r="F49" s="6">
        <f t="shared" si="1"/>
        <v>52.88</v>
      </c>
    </row>
    <row r="50" spans="4:6">
      <c r="D50" s="4">
        <v>56</v>
      </c>
      <c r="E50">
        <v>52.54</v>
      </c>
      <c r="F50" s="6">
        <f t="shared" si="1"/>
        <v>52.54</v>
      </c>
    </row>
    <row r="51" spans="4:6">
      <c r="D51" s="2">
        <v>55</v>
      </c>
      <c r="E51">
        <v>52.21</v>
      </c>
      <c r="F51" s="6">
        <f t="shared" si="1"/>
        <v>52.21</v>
      </c>
    </row>
    <row r="52" spans="4:6">
      <c r="D52" s="2">
        <v>54</v>
      </c>
      <c r="E52">
        <v>51.84</v>
      </c>
      <c r="F52" s="6">
        <f t="shared" si="1"/>
        <v>51.84</v>
      </c>
    </row>
    <row r="53" spans="4:6">
      <c r="D53" s="2">
        <v>53</v>
      </c>
      <c r="E53">
        <v>51.46</v>
      </c>
      <c r="F53" s="6">
        <f t="shared" si="1"/>
        <v>51.46</v>
      </c>
    </row>
    <row r="54" spans="4:6">
      <c r="D54" s="2">
        <v>52</v>
      </c>
      <c r="E54">
        <v>51.08</v>
      </c>
      <c r="F54" s="6">
        <f t="shared" si="1"/>
        <v>51.08</v>
      </c>
    </row>
    <row r="55" spans="4:6">
      <c r="D55" s="2">
        <v>51</v>
      </c>
      <c r="E55">
        <v>50.73</v>
      </c>
      <c r="F55" s="6">
        <f t="shared" si="1"/>
        <v>50.73</v>
      </c>
    </row>
    <row r="56" spans="4:6">
      <c r="D56" s="2">
        <v>50</v>
      </c>
      <c r="E56">
        <v>50.34</v>
      </c>
      <c r="F56" s="6">
        <f t="shared" si="1"/>
        <v>50.34</v>
      </c>
    </row>
    <row r="57" spans="4:6">
      <c r="D57" s="2">
        <v>49</v>
      </c>
      <c r="E57">
        <v>49.96</v>
      </c>
      <c r="F57" s="6">
        <f t="shared" si="1"/>
        <v>49.96</v>
      </c>
    </row>
    <row r="58" spans="4:6">
      <c r="D58" s="2">
        <v>48</v>
      </c>
      <c r="E58">
        <v>49.59</v>
      </c>
      <c r="F58" s="6">
        <f t="shared" si="1"/>
        <v>49.59</v>
      </c>
    </row>
    <row r="59" spans="4:6">
      <c r="D59" s="2">
        <v>47</v>
      </c>
      <c r="E59">
        <v>49.23</v>
      </c>
      <c r="F59" s="6">
        <f t="shared" si="1"/>
        <v>49.23</v>
      </c>
    </row>
    <row r="60" spans="4:6">
      <c r="D60" s="2">
        <v>46</v>
      </c>
      <c r="E60">
        <v>48.82</v>
      </c>
      <c r="F60" s="6">
        <f t="shared" si="1"/>
        <v>48.82</v>
      </c>
    </row>
    <row r="61" spans="4:6">
      <c r="D61" s="4">
        <v>45</v>
      </c>
      <c r="E61">
        <v>48.44</v>
      </c>
      <c r="F61" s="6">
        <f t="shared" si="1"/>
        <v>48.44</v>
      </c>
    </row>
    <row r="62" spans="4:6">
      <c r="D62" s="2">
        <v>44</v>
      </c>
      <c r="E62">
        <v>48.04</v>
      </c>
      <c r="F62" s="6">
        <f t="shared" si="1"/>
        <v>48.04</v>
      </c>
    </row>
    <row r="63" spans="4:6">
      <c r="D63" s="2">
        <v>43</v>
      </c>
      <c r="E63">
        <v>47.68</v>
      </c>
      <c r="F63" s="6">
        <f t="shared" si="1"/>
        <v>47.68</v>
      </c>
    </row>
    <row r="64" spans="4:6">
      <c r="D64" s="2">
        <v>42</v>
      </c>
      <c r="E64">
        <v>47.29</v>
      </c>
      <c r="F64" s="6">
        <f t="shared" si="1"/>
        <v>47.29</v>
      </c>
    </row>
    <row r="65" spans="4:6">
      <c r="D65" s="2">
        <v>41</v>
      </c>
      <c r="E65">
        <v>46.91</v>
      </c>
      <c r="F65" s="6">
        <f t="shared" si="1"/>
        <v>46.91</v>
      </c>
    </row>
    <row r="66" spans="4:6">
      <c r="D66" s="2">
        <v>40</v>
      </c>
      <c r="E66">
        <v>46.54</v>
      </c>
      <c r="F66" s="6">
        <f t="shared" si="1"/>
        <v>46.54</v>
      </c>
    </row>
    <row r="67" spans="4:6">
      <c r="D67" s="2">
        <v>39</v>
      </c>
      <c r="E67">
        <v>46.2</v>
      </c>
      <c r="F67" s="6">
        <f t="shared" si="1"/>
        <v>46.2</v>
      </c>
    </row>
    <row r="68" spans="4:6">
      <c r="D68" s="2">
        <v>38</v>
      </c>
      <c r="E68">
        <v>45.83</v>
      </c>
      <c r="F68" s="6">
        <f t="shared" si="1"/>
        <v>45.83</v>
      </c>
    </row>
    <row r="69" spans="4:6">
      <c r="D69" s="2">
        <v>37</v>
      </c>
      <c r="E69">
        <v>45.48</v>
      </c>
      <c r="F69" s="6">
        <f t="shared" si="1"/>
        <v>45.48</v>
      </c>
    </row>
    <row r="70" spans="4:6">
      <c r="D70" s="2">
        <v>36</v>
      </c>
      <c r="E70">
        <v>45.04</v>
      </c>
      <c r="F70" s="6">
        <f t="shared" si="1"/>
        <v>45.04</v>
      </c>
    </row>
    <row r="71" spans="4:6">
      <c r="D71" s="2">
        <v>35</v>
      </c>
      <c r="E71">
        <v>44.71</v>
      </c>
      <c r="F71" s="6">
        <f t="shared" ref="F71:F106" si="2">ROUND(E71,2)</f>
        <v>44.71</v>
      </c>
    </row>
    <row r="72" spans="4:6">
      <c r="D72" s="4">
        <v>34</v>
      </c>
      <c r="E72">
        <v>44.39</v>
      </c>
      <c r="F72" s="6">
        <f t="shared" si="2"/>
        <v>44.39</v>
      </c>
    </row>
    <row r="73" spans="4:6">
      <c r="D73" s="2">
        <v>33</v>
      </c>
      <c r="E73">
        <v>44.07</v>
      </c>
      <c r="F73" s="6">
        <f t="shared" si="2"/>
        <v>44.07</v>
      </c>
    </row>
    <row r="74" spans="4:6">
      <c r="D74" s="2">
        <v>32</v>
      </c>
      <c r="E74">
        <v>43.78</v>
      </c>
      <c r="F74" s="6">
        <f t="shared" si="2"/>
        <v>43.78</v>
      </c>
    </row>
    <row r="75" spans="4:6">
      <c r="D75" s="2">
        <v>31</v>
      </c>
      <c r="E75">
        <v>43.49</v>
      </c>
      <c r="F75" s="6">
        <f t="shared" si="2"/>
        <v>43.49</v>
      </c>
    </row>
    <row r="76" spans="4:6">
      <c r="D76" s="2">
        <v>30</v>
      </c>
      <c r="E76">
        <v>43.17</v>
      </c>
      <c r="F76" s="6">
        <f t="shared" si="2"/>
        <v>43.17</v>
      </c>
    </row>
    <row r="77" spans="4:6">
      <c r="D77" s="2">
        <v>29</v>
      </c>
      <c r="E77">
        <v>42.81</v>
      </c>
      <c r="F77" s="6">
        <f t="shared" si="2"/>
        <v>42.81</v>
      </c>
    </row>
    <row r="78" spans="4:6">
      <c r="D78" s="2">
        <v>28</v>
      </c>
      <c r="E78">
        <v>42.47</v>
      </c>
      <c r="F78" s="6">
        <f t="shared" si="2"/>
        <v>42.47</v>
      </c>
    </row>
    <row r="79" spans="4:6">
      <c r="D79" s="2">
        <v>27</v>
      </c>
      <c r="E79">
        <v>42.11</v>
      </c>
      <c r="F79" s="6">
        <f t="shared" si="2"/>
        <v>42.11</v>
      </c>
    </row>
    <row r="80" spans="4:6">
      <c r="D80" s="2">
        <v>26</v>
      </c>
      <c r="E80">
        <v>41.76</v>
      </c>
      <c r="F80" s="6">
        <f t="shared" si="2"/>
        <v>41.76</v>
      </c>
    </row>
    <row r="81" spans="4:6">
      <c r="D81" s="2">
        <v>25</v>
      </c>
      <c r="E81">
        <v>41.42</v>
      </c>
      <c r="F81" s="6">
        <f t="shared" si="2"/>
        <v>41.42</v>
      </c>
    </row>
    <row r="82" spans="4:6">
      <c r="D82" s="2">
        <v>24</v>
      </c>
      <c r="E82">
        <v>41.1</v>
      </c>
      <c r="F82" s="6">
        <f t="shared" si="2"/>
        <v>41.1</v>
      </c>
    </row>
    <row r="83" spans="4:6">
      <c r="D83" s="4">
        <v>23</v>
      </c>
      <c r="E83">
        <v>40.79</v>
      </c>
      <c r="F83" s="6">
        <f t="shared" si="2"/>
        <v>40.79</v>
      </c>
    </row>
    <row r="84" spans="4:6">
      <c r="D84" s="2">
        <v>22</v>
      </c>
      <c r="E84">
        <v>40.479999999999997</v>
      </c>
      <c r="F84" s="6">
        <f t="shared" si="2"/>
        <v>40.479999999999997</v>
      </c>
    </row>
    <row r="85" spans="4:6">
      <c r="D85" s="2">
        <v>21</v>
      </c>
      <c r="E85">
        <v>40.15</v>
      </c>
      <c r="F85" s="6">
        <f t="shared" si="2"/>
        <v>40.15</v>
      </c>
    </row>
    <row r="86" spans="4:6">
      <c r="D86" s="2">
        <v>20</v>
      </c>
      <c r="E86">
        <v>39.81</v>
      </c>
      <c r="F86" s="6">
        <f t="shared" si="2"/>
        <v>39.81</v>
      </c>
    </row>
    <row r="87" spans="4:6">
      <c r="D87" s="2">
        <v>19</v>
      </c>
      <c r="E87">
        <v>39.450000000000003</v>
      </c>
      <c r="F87" s="6">
        <f t="shared" si="2"/>
        <v>39.450000000000003</v>
      </c>
    </row>
    <row r="88" spans="4:6">
      <c r="D88" s="2">
        <v>18</v>
      </c>
      <c r="E88">
        <v>39.090000000000003</v>
      </c>
      <c r="F88" s="6">
        <f t="shared" si="2"/>
        <v>39.090000000000003</v>
      </c>
    </row>
    <row r="89" spans="4:6">
      <c r="D89" s="2">
        <v>17</v>
      </c>
      <c r="E89">
        <v>38.79</v>
      </c>
      <c r="F89" s="6">
        <f t="shared" si="2"/>
        <v>38.79</v>
      </c>
    </row>
    <row r="90" spans="4:6">
      <c r="D90" s="2">
        <v>16</v>
      </c>
      <c r="E90">
        <v>38.479999999999997</v>
      </c>
      <c r="F90" s="6">
        <f t="shared" si="2"/>
        <v>38.479999999999997</v>
      </c>
    </row>
    <row r="91" spans="4:6">
      <c r="D91" s="2">
        <v>15</v>
      </c>
      <c r="E91">
        <v>38.15</v>
      </c>
      <c r="F91" s="6">
        <f t="shared" si="2"/>
        <v>38.15</v>
      </c>
    </row>
    <row r="92" spans="4:6">
      <c r="D92" s="2">
        <v>14</v>
      </c>
      <c r="E92">
        <v>37.840000000000003</v>
      </c>
      <c r="F92" s="6">
        <f t="shared" si="2"/>
        <v>37.840000000000003</v>
      </c>
    </row>
    <row r="93" spans="4:6">
      <c r="D93" s="2">
        <v>13</v>
      </c>
      <c r="E93">
        <v>37.53</v>
      </c>
      <c r="F93" s="6">
        <f t="shared" si="2"/>
        <v>37.53</v>
      </c>
    </row>
    <row r="94" spans="4:6">
      <c r="D94" s="4">
        <v>12</v>
      </c>
      <c r="E94">
        <v>37.19</v>
      </c>
      <c r="F94" s="6">
        <f t="shared" si="2"/>
        <v>37.19</v>
      </c>
    </row>
    <row r="95" spans="4:6">
      <c r="D95" s="2">
        <v>11</v>
      </c>
      <c r="E95">
        <v>36.799999999999997</v>
      </c>
      <c r="F95" s="6">
        <f t="shared" si="2"/>
        <v>36.799999999999997</v>
      </c>
    </row>
    <row r="96" spans="4:6">
      <c r="D96" s="2">
        <v>10</v>
      </c>
      <c r="E96">
        <v>36.44</v>
      </c>
      <c r="F96" s="6">
        <f t="shared" si="2"/>
        <v>36.44</v>
      </c>
    </row>
    <row r="97" spans="4:6">
      <c r="D97" s="2">
        <v>9</v>
      </c>
      <c r="E97">
        <v>36.090000000000003</v>
      </c>
      <c r="F97" s="6">
        <f t="shared" si="2"/>
        <v>36.090000000000003</v>
      </c>
    </row>
    <row r="98" spans="4:6">
      <c r="D98" s="2">
        <v>8</v>
      </c>
      <c r="E98">
        <v>35.75</v>
      </c>
      <c r="F98" s="6">
        <f t="shared" si="2"/>
        <v>35.75</v>
      </c>
    </row>
    <row r="99" spans="4:6">
      <c r="D99" s="2">
        <v>7</v>
      </c>
      <c r="E99">
        <v>35.4</v>
      </c>
      <c r="F99" s="6">
        <f t="shared" si="2"/>
        <v>35.4</v>
      </c>
    </row>
    <row r="100" spans="4:6">
      <c r="D100" s="2">
        <v>6</v>
      </c>
      <c r="E100">
        <v>34.880000000000003</v>
      </c>
      <c r="F100" s="6">
        <f t="shared" si="2"/>
        <v>34.880000000000003</v>
      </c>
    </row>
    <row r="101" spans="4:6">
      <c r="D101" s="2">
        <v>5</v>
      </c>
      <c r="E101">
        <v>34.42</v>
      </c>
      <c r="F101" s="6">
        <f t="shared" si="2"/>
        <v>34.42</v>
      </c>
    </row>
    <row r="102" spans="4:6">
      <c r="D102" s="2">
        <v>4</v>
      </c>
      <c r="E102">
        <v>33.92</v>
      </c>
      <c r="F102" s="6">
        <f t="shared" si="2"/>
        <v>33.92</v>
      </c>
    </row>
    <row r="103" spans="4:6">
      <c r="D103" s="2">
        <v>3</v>
      </c>
      <c r="E103">
        <v>33.19</v>
      </c>
      <c r="F103" s="6">
        <f t="shared" si="2"/>
        <v>33.19</v>
      </c>
    </row>
    <row r="104" spans="4:6">
      <c r="D104" s="2">
        <v>2</v>
      </c>
      <c r="E104">
        <v>32.31</v>
      </c>
      <c r="F104" s="6">
        <f t="shared" si="2"/>
        <v>32.31</v>
      </c>
    </row>
    <row r="105" spans="4:6">
      <c r="D105" s="4">
        <v>1</v>
      </c>
      <c r="E105">
        <v>31.25</v>
      </c>
      <c r="F105" s="6">
        <f t="shared" si="2"/>
        <v>31.25</v>
      </c>
    </row>
    <row r="106" spans="4:6">
      <c r="D106" s="2">
        <v>0</v>
      </c>
      <c r="E106">
        <v>0</v>
      </c>
      <c r="F106" s="6">
        <f t="shared" si="2"/>
        <v>0</v>
      </c>
    </row>
  </sheetData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B103"/>
  <sheetViews>
    <sheetView topLeftCell="M1" workbookViewId="0">
      <selection activeCell="V67" sqref="S67:V70"/>
    </sheetView>
  </sheetViews>
  <sheetFormatPr defaultRowHeight="16.5"/>
  <cols>
    <col min="1" max="14" width="9" style="92"/>
    <col min="15" max="16" width="10.875" style="92" customWidth="1"/>
    <col min="17" max="20" width="9" style="92"/>
    <col min="21" max="21" width="10.25" style="92" customWidth="1"/>
    <col min="22" max="22" width="9" style="92"/>
    <col min="23" max="23" width="10.25" style="92" customWidth="1"/>
    <col min="24" max="24" width="9" style="92"/>
    <col min="25" max="25" width="10.25" style="92" customWidth="1"/>
    <col min="26" max="26" width="9" style="92"/>
    <col min="27" max="27" width="10.25" style="92" customWidth="1"/>
    <col min="28" max="28" width="9" style="92"/>
  </cols>
  <sheetData>
    <row r="1" spans="1:28">
      <c r="A1" s="92" t="s">
        <v>138</v>
      </c>
      <c r="B1" s="92" t="s">
        <v>396</v>
      </c>
      <c r="C1" s="92" t="s">
        <v>142</v>
      </c>
      <c r="D1" s="92" t="s">
        <v>397</v>
      </c>
      <c r="E1" s="92" t="s">
        <v>143</v>
      </c>
      <c r="F1" s="92" t="s">
        <v>397</v>
      </c>
      <c r="G1" s="92" t="s">
        <v>144</v>
      </c>
      <c r="H1" s="92" t="s">
        <v>440</v>
      </c>
      <c r="I1" s="92" t="s">
        <v>145</v>
      </c>
      <c r="J1" s="92" t="s">
        <v>186</v>
      </c>
      <c r="K1" s="92" t="s">
        <v>146</v>
      </c>
      <c r="L1" s="92" t="s">
        <v>440</v>
      </c>
      <c r="M1" s="92" t="s">
        <v>147</v>
      </c>
      <c r="N1" s="92" t="s">
        <v>398</v>
      </c>
      <c r="O1" s="92" t="s">
        <v>399</v>
      </c>
      <c r="P1" s="92" t="s">
        <v>400</v>
      </c>
      <c r="Q1" s="92" t="s">
        <v>148</v>
      </c>
      <c r="R1" s="92" t="s">
        <v>141</v>
      </c>
      <c r="S1" s="92" t="s">
        <v>193</v>
      </c>
      <c r="T1" s="92" t="s">
        <v>400</v>
      </c>
      <c r="U1" s="92" t="s">
        <v>199</v>
      </c>
      <c r="V1" s="92" t="s">
        <v>204</v>
      </c>
      <c r="W1" s="92" t="s">
        <v>328</v>
      </c>
      <c r="X1" s="92" t="s">
        <v>388</v>
      </c>
      <c r="Y1" s="92" t="s">
        <v>334</v>
      </c>
      <c r="AA1" s="92" t="s">
        <v>335</v>
      </c>
      <c r="AB1" s="92" t="s">
        <v>389</v>
      </c>
    </row>
    <row r="2" spans="1:28">
      <c r="A2" s="92" t="s">
        <v>139</v>
      </c>
      <c r="B2" s="92" t="s">
        <v>140</v>
      </c>
      <c r="C2" s="92" t="s">
        <v>139</v>
      </c>
      <c r="D2" s="92" t="s">
        <v>140</v>
      </c>
      <c r="E2" s="92" t="s">
        <v>139</v>
      </c>
      <c r="F2" s="92" t="s">
        <v>140</v>
      </c>
      <c r="G2" s="92" t="s">
        <v>139</v>
      </c>
      <c r="H2" s="92" t="s">
        <v>140</v>
      </c>
      <c r="I2" s="92" t="s">
        <v>139</v>
      </c>
      <c r="J2" s="92" t="s">
        <v>140</v>
      </c>
      <c r="K2" s="92" t="s">
        <v>139</v>
      </c>
      <c r="L2" s="92" t="s">
        <v>140</v>
      </c>
      <c r="M2" s="92" t="s">
        <v>139</v>
      </c>
      <c r="N2" s="92" t="s">
        <v>140</v>
      </c>
      <c r="O2" s="92" t="s">
        <v>139</v>
      </c>
      <c r="P2" s="92" t="s">
        <v>140</v>
      </c>
      <c r="Q2" s="92" t="s">
        <v>139</v>
      </c>
      <c r="R2" s="92" t="s">
        <v>140</v>
      </c>
      <c r="S2" s="92" t="s">
        <v>3</v>
      </c>
      <c r="T2" s="92" t="s">
        <v>33</v>
      </c>
      <c r="U2" s="92" t="s">
        <v>200</v>
      </c>
      <c r="V2" s="92" t="s">
        <v>201</v>
      </c>
      <c r="W2" s="92" t="s">
        <v>200</v>
      </c>
      <c r="X2" s="92" t="s">
        <v>201</v>
      </c>
      <c r="Y2" s="92" t="s">
        <v>200</v>
      </c>
      <c r="Z2" s="92" t="s">
        <v>201</v>
      </c>
      <c r="AA2" s="92" t="s">
        <v>200</v>
      </c>
      <c r="AB2" s="92" t="s">
        <v>201</v>
      </c>
    </row>
    <row r="3" spans="1:28">
      <c r="A3" s="92">
        <v>100</v>
      </c>
      <c r="B3" s="92">
        <v>69.63</v>
      </c>
      <c r="C3" s="92">
        <v>100</v>
      </c>
      <c r="D3" s="169">
        <v>69.62</v>
      </c>
      <c r="E3" s="92">
        <v>100</v>
      </c>
      <c r="F3" s="92">
        <v>69.63</v>
      </c>
      <c r="G3" s="92">
        <v>100</v>
      </c>
      <c r="H3" s="92">
        <v>70.73</v>
      </c>
      <c r="I3" s="92">
        <v>100</v>
      </c>
      <c r="J3" s="92">
        <v>70.75</v>
      </c>
      <c r="K3" s="92">
        <v>100</v>
      </c>
      <c r="L3" s="92">
        <v>69.63</v>
      </c>
      <c r="M3" s="92">
        <v>100</v>
      </c>
      <c r="N3" s="92">
        <v>69.62</v>
      </c>
      <c r="O3" s="92">
        <v>100</v>
      </c>
      <c r="P3" s="92">
        <v>105</v>
      </c>
      <c r="Q3" s="92">
        <v>100</v>
      </c>
      <c r="R3" s="92">
        <v>70.69</v>
      </c>
      <c r="S3" s="92">
        <v>100</v>
      </c>
      <c r="T3" s="92">
        <v>69.62</v>
      </c>
      <c r="U3" s="92">
        <v>100</v>
      </c>
      <c r="V3" s="92">
        <v>69.63</v>
      </c>
      <c r="W3" s="92">
        <v>100</v>
      </c>
      <c r="X3" s="92">
        <v>69.88</v>
      </c>
      <c r="Y3" s="92">
        <v>100</v>
      </c>
      <c r="Z3" s="92">
        <v>69.62</v>
      </c>
      <c r="AA3" s="92">
        <v>100</v>
      </c>
      <c r="AB3" s="92">
        <v>70.25</v>
      </c>
    </row>
    <row r="4" spans="1:28">
      <c r="A4" s="92">
        <v>99</v>
      </c>
      <c r="B4" s="92">
        <v>68.53</v>
      </c>
      <c r="C4" s="92">
        <v>99</v>
      </c>
      <c r="D4" s="169">
        <v>68.5</v>
      </c>
      <c r="E4" s="92">
        <v>99</v>
      </c>
      <c r="F4" s="92">
        <v>68.25</v>
      </c>
      <c r="G4" s="92">
        <v>99</v>
      </c>
      <c r="H4" s="92">
        <v>69.599999999999994</v>
      </c>
      <c r="I4" s="92">
        <v>99</v>
      </c>
      <c r="J4" s="92">
        <v>68.709999999999994</v>
      </c>
      <c r="K4" s="92">
        <v>99</v>
      </c>
      <c r="L4" s="92">
        <v>68.5</v>
      </c>
      <c r="M4" s="92">
        <v>99</v>
      </c>
      <c r="N4" s="92">
        <v>68.5</v>
      </c>
      <c r="O4" s="92">
        <v>99</v>
      </c>
      <c r="P4" s="92">
        <v>103.31</v>
      </c>
      <c r="Q4" s="92">
        <v>99</v>
      </c>
      <c r="R4" s="92">
        <v>68.83</v>
      </c>
      <c r="S4" s="92">
        <v>99</v>
      </c>
      <c r="T4" s="92">
        <v>68.5</v>
      </c>
      <c r="U4" s="92">
        <v>99</v>
      </c>
      <c r="V4" s="92">
        <v>68.75</v>
      </c>
      <c r="W4" s="92">
        <v>99</v>
      </c>
      <c r="X4" s="92">
        <v>68.44</v>
      </c>
      <c r="Y4" s="92">
        <v>99</v>
      </c>
      <c r="Z4" s="92">
        <v>68.5</v>
      </c>
      <c r="AA4" s="92">
        <v>99</v>
      </c>
      <c r="AB4" s="92">
        <v>68.63</v>
      </c>
    </row>
    <row r="5" spans="1:28">
      <c r="A5" s="92">
        <v>98</v>
      </c>
      <c r="B5" s="92">
        <v>67.25</v>
      </c>
      <c r="C5" s="92">
        <v>98</v>
      </c>
      <c r="D5" s="169">
        <v>67.25</v>
      </c>
      <c r="E5" s="92">
        <v>98</v>
      </c>
      <c r="F5" s="92">
        <v>67.25</v>
      </c>
      <c r="G5" s="92">
        <v>98</v>
      </c>
      <c r="H5" s="92">
        <v>68.349999999999994</v>
      </c>
      <c r="I5" s="92">
        <v>98</v>
      </c>
      <c r="J5" s="92">
        <v>67.25</v>
      </c>
      <c r="K5" s="92">
        <v>98</v>
      </c>
      <c r="L5" s="92">
        <v>67.31</v>
      </c>
      <c r="M5" s="92">
        <v>98</v>
      </c>
      <c r="N5" s="92">
        <v>67.25</v>
      </c>
      <c r="O5" s="92">
        <v>98</v>
      </c>
      <c r="P5" s="92">
        <v>101.43</v>
      </c>
      <c r="Q5" s="92">
        <v>98</v>
      </c>
      <c r="R5" s="92">
        <v>67.25</v>
      </c>
      <c r="S5" s="92">
        <v>98</v>
      </c>
      <c r="T5" s="92">
        <v>67.25</v>
      </c>
      <c r="U5" s="92">
        <v>98</v>
      </c>
      <c r="V5" s="92">
        <v>67.63</v>
      </c>
      <c r="W5" s="92">
        <v>98</v>
      </c>
      <c r="X5" s="92">
        <v>67.25</v>
      </c>
      <c r="Y5" s="92">
        <v>98</v>
      </c>
      <c r="Z5" s="92">
        <v>67.25</v>
      </c>
      <c r="AA5" s="92">
        <v>98</v>
      </c>
      <c r="AB5" s="92">
        <v>67.25</v>
      </c>
    </row>
    <row r="6" spans="1:28">
      <c r="A6" s="92">
        <v>97</v>
      </c>
      <c r="B6" s="92">
        <v>66.47</v>
      </c>
      <c r="C6" s="92">
        <v>97</v>
      </c>
      <c r="D6" s="169">
        <v>66.459999999999994</v>
      </c>
      <c r="E6" s="92">
        <v>97</v>
      </c>
      <c r="F6" s="92">
        <v>66.47</v>
      </c>
      <c r="G6" s="92">
        <v>97</v>
      </c>
      <c r="H6" s="92">
        <v>67.56</v>
      </c>
      <c r="I6" s="92">
        <v>97</v>
      </c>
      <c r="J6" s="92">
        <v>66.47</v>
      </c>
      <c r="K6" s="92">
        <v>97</v>
      </c>
      <c r="L6" s="92">
        <v>66.48</v>
      </c>
      <c r="M6" s="92">
        <v>97</v>
      </c>
      <c r="N6" s="92">
        <v>66.459999999999994</v>
      </c>
      <c r="O6" s="92">
        <v>97</v>
      </c>
      <c r="P6" s="92">
        <v>100.23</v>
      </c>
      <c r="Q6" s="92">
        <v>97</v>
      </c>
      <c r="R6" s="92">
        <v>66.47</v>
      </c>
      <c r="S6" s="92">
        <v>97</v>
      </c>
      <c r="T6" s="92">
        <v>66.459999999999994</v>
      </c>
      <c r="U6" s="92">
        <v>97</v>
      </c>
      <c r="V6" s="92">
        <v>67</v>
      </c>
      <c r="W6" s="92">
        <v>97</v>
      </c>
      <c r="X6" s="92">
        <v>66.47</v>
      </c>
      <c r="Y6" s="92">
        <v>97</v>
      </c>
      <c r="Z6" s="92">
        <v>66.459999999999994</v>
      </c>
      <c r="AA6" s="92">
        <v>97</v>
      </c>
      <c r="AB6" s="92">
        <v>66.47</v>
      </c>
    </row>
    <row r="7" spans="1:28">
      <c r="A7" s="92">
        <v>96</v>
      </c>
      <c r="B7" s="92">
        <v>65.83</v>
      </c>
      <c r="C7" s="92">
        <v>96</v>
      </c>
      <c r="D7" s="169">
        <v>65.83</v>
      </c>
      <c r="E7" s="92">
        <v>96</v>
      </c>
      <c r="F7" s="92">
        <v>65.83</v>
      </c>
      <c r="G7" s="92">
        <v>96</v>
      </c>
      <c r="H7" s="92">
        <v>66.930000000000007</v>
      </c>
      <c r="I7" s="92">
        <v>96</v>
      </c>
      <c r="J7" s="92">
        <v>65.83</v>
      </c>
      <c r="K7" s="92">
        <v>96</v>
      </c>
      <c r="L7" s="92">
        <v>65.84</v>
      </c>
      <c r="M7" s="92">
        <v>96</v>
      </c>
      <c r="N7" s="92">
        <v>65.83</v>
      </c>
      <c r="O7" s="92">
        <v>96</v>
      </c>
      <c r="P7" s="92">
        <v>99.28</v>
      </c>
      <c r="Q7" s="92">
        <v>96</v>
      </c>
      <c r="R7" s="92">
        <v>65.83</v>
      </c>
      <c r="S7" s="92">
        <v>96</v>
      </c>
      <c r="T7" s="92">
        <v>65.83</v>
      </c>
      <c r="U7" s="92">
        <v>96</v>
      </c>
      <c r="V7" s="92">
        <v>65.88</v>
      </c>
      <c r="W7" s="92">
        <v>96</v>
      </c>
      <c r="X7" s="92">
        <v>65.83</v>
      </c>
      <c r="Y7" s="92">
        <v>96</v>
      </c>
      <c r="Z7" s="92">
        <v>65.83</v>
      </c>
      <c r="AA7" s="92">
        <v>96</v>
      </c>
      <c r="AB7" s="92">
        <v>65.83</v>
      </c>
    </row>
    <row r="8" spans="1:28">
      <c r="A8" s="92">
        <v>95</v>
      </c>
      <c r="B8" s="92">
        <v>65.319999999999993</v>
      </c>
      <c r="C8" s="92">
        <v>95</v>
      </c>
      <c r="D8" s="169">
        <v>65.319999999999993</v>
      </c>
      <c r="E8" s="92">
        <v>95</v>
      </c>
      <c r="F8" s="92">
        <v>65.319999999999993</v>
      </c>
      <c r="G8" s="92">
        <v>95</v>
      </c>
      <c r="H8" s="92">
        <v>66.41</v>
      </c>
      <c r="I8" s="92">
        <v>95</v>
      </c>
      <c r="J8" s="92">
        <v>65.319999999999993</v>
      </c>
      <c r="K8" s="92">
        <v>95</v>
      </c>
      <c r="L8" s="92">
        <v>65.31</v>
      </c>
      <c r="M8" s="92">
        <v>95</v>
      </c>
      <c r="N8" s="92">
        <v>65.319999999999993</v>
      </c>
      <c r="O8" s="92">
        <v>95</v>
      </c>
      <c r="P8" s="92">
        <v>98.51</v>
      </c>
      <c r="Q8" s="92">
        <v>95</v>
      </c>
      <c r="R8" s="92">
        <v>65.319999999999993</v>
      </c>
      <c r="S8" s="92">
        <v>95</v>
      </c>
      <c r="T8" s="92">
        <v>65.319999999999993</v>
      </c>
      <c r="U8" s="92">
        <v>95</v>
      </c>
      <c r="V8" s="92">
        <v>65.25</v>
      </c>
      <c r="W8" s="92">
        <v>95</v>
      </c>
      <c r="X8" s="92">
        <v>65.319999999999993</v>
      </c>
      <c r="Y8" s="92">
        <v>95</v>
      </c>
      <c r="Z8" s="92">
        <v>65.319999999999993</v>
      </c>
      <c r="AA8" s="92">
        <v>95</v>
      </c>
      <c r="AB8" s="92">
        <v>65.319999999999993</v>
      </c>
    </row>
    <row r="9" spans="1:28">
      <c r="A9" s="92">
        <v>94</v>
      </c>
      <c r="B9" s="92">
        <v>64.81</v>
      </c>
      <c r="C9" s="92">
        <v>94</v>
      </c>
      <c r="D9" s="169">
        <v>64.81</v>
      </c>
      <c r="E9" s="92">
        <v>94</v>
      </c>
      <c r="F9" s="92">
        <v>64.81</v>
      </c>
      <c r="G9" s="92">
        <v>94</v>
      </c>
      <c r="H9" s="92">
        <v>65.91</v>
      </c>
      <c r="I9" s="92">
        <v>94</v>
      </c>
      <c r="J9" s="92">
        <v>64.81</v>
      </c>
      <c r="K9" s="92">
        <v>94</v>
      </c>
      <c r="L9" s="92">
        <v>64.81</v>
      </c>
      <c r="M9" s="92">
        <v>94</v>
      </c>
      <c r="N9" s="92">
        <v>64.81</v>
      </c>
      <c r="O9" s="92">
        <v>94</v>
      </c>
      <c r="P9" s="92">
        <v>97.75</v>
      </c>
      <c r="Q9" s="92">
        <v>94</v>
      </c>
      <c r="R9" s="92">
        <v>64.81</v>
      </c>
      <c r="S9" s="92">
        <v>94</v>
      </c>
      <c r="T9" s="92">
        <v>64.81</v>
      </c>
      <c r="U9" s="92">
        <v>94</v>
      </c>
      <c r="V9" s="92">
        <v>64.75</v>
      </c>
      <c r="W9" s="92">
        <v>94</v>
      </c>
      <c r="X9" s="92">
        <v>64.81</v>
      </c>
      <c r="Y9" s="92">
        <v>94</v>
      </c>
      <c r="Z9" s="92">
        <v>64.81</v>
      </c>
      <c r="AA9" s="92">
        <v>94</v>
      </c>
      <c r="AB9" s="92">
        <v>64.81</v>
      </c>
    </row>
    <row r="10" spans="1:28">
      <c r="A10" s="92">
        <v>93</v>
      </c>
      <c r="B10" s="92">
        <v>64.37</v>
      </c>
      <c r="C10" s="92">
        <v>93</v>
      </c>
      <c r="D10" s="169">
        <v>64.36</v>
      </c>
      <c r="E10" s="92">
        <v>93</v>
      </c>
      <c r="F10" s="92">
        <v>64.36</v>
      </c>
      <c r="G10" s="92">
        <v>93</v>
      </c>
      <c r="H10" s="92">
        <v>65.45</v>
      </c>
      <c r="I10" s="92">
        <v>93</v>
      </c>
      <c r="J10" s="92">
        <v>64.37</v>
      </c>
      <c r="K10" s="92">
        <v>93</v>
      </c>
      <c r="L10" s="92">
        <v>64.39</v>
      </c>
      <c r="M10" s="92">
        <v>93</v>
      </c>
      <c r="N10" s="92">
        <v>64.36</v>
      </c>
      <c r="O10" s="92">
        <v>93</v>
      </c>
      <c r="P10" s="92">
        <v>97.07</v>
      </c>
      <c r="Q10" s="92">
        <v>93</v>
      </c>
      <c r="R10" s="92">
        <v>64.37</v>
      </c>
      <c r="S10" s="92">
        <v>93</v>
      </c>
      <c r="T10" s="92">
        <v>64.36</v>
      </c>
      <c r="U10" s="92">
        <v>93</v>
      </c>
      <c r="V10" s="92">
        <v>64.75</v>
      </c>
      <c r="W10" s="92">
        <v>93</v>
      </c>
      <c r="X10" s="92">
        <v>64.36</v>
      </c>
      <c r="Y10" s="92">
        <v>93</v>
      </c>
      <c r="Z10" s="92">
        <v>64.36</v>
      </c>
      <c r="AA10" s="92">
        <v>93</v>
      </c>
      <c r="AB10" s="92">
        <v>64.37</v>
      </c>
    </row>
    <row r="11" spans="1:28">
      <c r="A11" s="92">
        <v>92</v>
      </c>
      <c r="B11" s="92">
        <v>63.92</v>
      </c>
      <c r="C11" s="92">
        <v>92</v>
      </c>
      <c r="D11" s="169">
        <v>63.91</v>
      </c>
      <c r="E11" s="92">
        <v>92</v>
      </c>
      <c r="F11" s="92">
        <v>63.92</v>
      </c>
      <c r="G11" s="92">
        <v>92</v>
      </c>
      <c r="H11" s="92">
        <v>65.02</v>
      </c>
      <c r="I11" s="92">
        <v>92</v>
      </c>
      <c r="J11" s="92">
        <v>63.92</v>
      </c>
      <c r="K11" s="92">
        <v>92</v>
      </c>
      <c r="L11" s="92">
        <v>63.96</v>
      </c>
      <c r="M11" s="92">
        <v>92</v>
      </c>
      <c r="N11" s="92">
        <v>63.91</v>
      </c>
      <c r="O11" s="92">
        <v>92</v>
      </c>
      <c r="P11" s="92">
        <v>96.39</v>
      </c>
      <c r="Q11" s="92">
        <v>92</v>
      </c>
      <c r="R11" s="92">
        <v>63.98</v>
      </c>
      <c r="S11" s="92">
        <v>92</v>
      </c>
      <c r="T11" s="92">
        <v>63.91</v>
      </c>
      <c r="U11" s="92">
        <v>92</v>
      </c>
      <c r="V11" s="92">
        <v>64.38</v>
      </c>
      <c r="W11" s="92">
        <v>92</v>
      </c>
      <c r="X11" s="92">
        <v>63.92</v>
      </c>
      <c r="Y11" s="92">
        <v>92</v>
      </c>
      <c r="Z11" s="92">
        <v>63.91</v>
      </c>
      <c r="AA11" s="92">
        <v>92</v>
      </c>
      <c r="AB11" s="92">
        <v>63.92</v>
      </c>
    </row>
    <row r="12" spans="1:28">
      <c r="A12" s="92">
        <v>91</v>
      </c>
      <c r="B12" s="92">
        <v>63.53</v>
      </c>
      <c r="C12" s="92">
        <v>91</v>
      </c>
      <c r="D12" s="169">
        <v>63.53</v>
      </c>
      <c r="E12" s="92">
        <v>91</v>
      </c>
      <c r="F12" s="92">
        <v>63.53</v>
      </c>
      <c r="G12" s="92">
        <v>91</v>
      </c>
      <c r="H12" s="92">
        <v>64.63</v>
      </c>
      <c r="I12" s="92">
        <v>91</v>
      </c>
      <c r="J12" s="92">
        <v>63.53</v>
      </c>
      <c r="K12" s="92">
        <v>91</v>
      </c>
      <c r="L12" s="92">
        <v>63.59</v>
      </c>
      <c r="M12" s="92">
        <v>91</v>
      </c>
      <c r="N12" s="92">
        <v>63.53</v>
      </c>
      <c r="O12" s="92">
        <v>91</v>
      </c>
      <c r="P12" s="92">
        <v>95.82</v>
      </c>
      <c r="Q12" s="92">
        <v>91</v>
      </c>
      <c r="R12" s="92">
        <v>63.59</v>
      </c>
      <c r="S12" s="92">
        <v>91</v>
      </c>
      <c r="T12" s="92">
        <v>63.53</v>
      </c>
      <c r="U12" s="92">
        <v>91</v>
      </c>
      <c r="V12" s="92">
        <v>63.75</v>
      </c>
      <c r="W12" s="92">
        <v>91</v>
      </c>
      <c r="X12" s="92">
        <v>63.53</v>
      </c>
      <c r="Y12" s="92">
        <v>91</v>
      </c>
      <c r="Z12" s="92">
        <v>63.53</v>
      </c>
      <c r="AA12" s="92">
        <v>91</v>
      </c>
      <c r="AB12" s="92">
        <v>63.53</v>
      </c>
    </row>
    <row r="13" spans="1:28">
      <c r="A13" s="92">
        <v>90</v>
      </c>
      <c r="B13" s="92">
        <v>63.14</v>
      </c>
      <c r="C13" s="92">
        <v>90</v>
      </c>
      <c r="D13" s="169">
        <v>63.13</v>
      </c>
      <c r="E13" s="92">
        <v>90</v>
      </c>
      <c r="F13" s="92">
        <v>63.14</v>
      </c>
      <c r="G13" s="92">
        <v>90</v>
      </c>
      <c r="H13" s="92">
        <v>64.23</v>
      </c>
      <c r="I13" s="92">
        <v>90</v>
      </c>
      <c r="J13" s="92">
        <v>63.07</v>
      </c>
      <c r="K13" s="92">
        <v>90</v>
      </c>
      <c r="L13" s="92">
        <v>63.15</v>
      </c>
      <c r="M13" s="92">
        <v>90</v>
      </c>
      <c r="N13" s="92">
        <v>63.13</v>
      </c>
      <c r="O13" s="92">
        <v>90</v>
      </c>
      <c r="P13" s="92">
        <v>95.21</v>
      </c>
      <c r="Q13" s="92">
        <v>90</v>
      </c>
      <c r="R13" s="92">
        <v>63.14</v>
      </c>
      <c r="S13" s="92">
        <v>90</v>
      </c>
      <c r="T13" s="92">
        <v>63.13</v>
      </c>
      <c r="U13" s="92">
        <v>90</v>
      </c>
      <c r="V13" s="92">
        <v>63.13</v>
      </c>
      <c r="W13" s="92">
        <v>90</v>
      </c>
      <c r="X13" s="92">
        <v>63.14</v>
      </c>
      <c r="Y13" s="92">
        <v>90</v>
      </c>
      <c r="Z13" s="92">
        <v>63.13</v>
      </c>
      <c r="AA13" s="92">
        <v>90</v>
      </c>
      <c r="AB13" s="92">
        <v>63.14</v>
      </c>
    </row>
    <row r="14" spans="1:28">
      <c r="A14" s="92">
        <v>89</v>
      </c>
      <c r="B14" s="92">
        <v>62.78</v>
      </c>
      <c r="C14" s="92">
        <v>89</v>
      </c>
      <c r="D14" s="169">
        <v>62.78</v>
      </c>
      <c r="E14" s="92">
        <v>89</v>
      </c>
      <c r="F14" s="92">
        <v>62.78</v>
      </c>
      <c r="G14" s="92">
        <v>89</v>
      </c>
      <c r="H14" s="92">
        <v>63.88</v>
      </c>
      <c r="I14" s="92">
        <v>89</v>
      </c>
      <c r="J14" s="92">
        <v>62.75</v>
      </c>
      <c r="K14" s="92">
        <v>89</v>
      </c>
      <c r="L14" s="92">
        <v>62.79</v>
      </c>
      <c r="M14" s="92">
        <v>89</v>
      </c>
      <c r="N14" s="92">
        <v>62.78</v>
      </c>
      <c r="O14" s="92">
        <v>89</v>
      </c>
      <c r="P14" s="92">
        <v>94.68</v>
      </c>
      <c r="Q14" s="92">
        <v>89</v>
      </c>
      <c r="R14" s="92">
        <v>62.78</v>
      </c>
      <c r="S14" s="92">
        <v>89</v>
      </c>
      <c r="T14" s="92">
        <v>62.78</v>
      </c>
      <c r="U14" s="92">
        <v>89</v>
      </c>
      <c r="V14" s="92">
        <v>63</v>
      </c>
      <c r="W14" s="92">
        <v>89</v>
      </c>
      <c r="X14" s="92">
        <v>62.78</v>
      </c>
      <c r="Y14" s="92">
        <v>89</v>
      </c>
      <c r="Z14" s="92">
        <v>62.78</v>
      </c>
      <c r="AA14" s="92">
        <v>89</v>
      </c>
      <c r="AB14" s="92">
        <v>62.78</v>
      </c>
    </row>
    <row r="15" spans="1:28">
      <c r="A15" s="92">
        <v>88</v>
      </c>
      <c r="B15" s="92">
        <v>62.48</v>
      </c>
      <c r="C15" s="92">
        <v>88</v>
      </c>
      <c r="D15" s="169">
        <v>62.47</v>
      </c>
      <c r="E15" s="92">
        <v>88</v>
      </c>
      <c r="F15" s="92">
        <v>62.48</v>
      </c>
      <c r="G15" s="92">
        <v>88</v>
      </c>
      <c r="H15" s="92">
        <v>63.58</v>
      </c>
      <c r="I15" s="92">
        <v>88</v>
      </c>
      <c r="J15" s="92">
        <v>62.46</v>
      </c>
      <c r="K15" s="92">
        <v>88</v>
      </c>
      <c r="L15" s="92">
        <v>62.48</v>
      </c>
      <c r="M15" s="92">
        <v>88</v>
      </c>
      <c r="N15" s="92">
        <v>62.47</v>
      </c>
      <c r="O15" s="92">
        <v>88</v>
      </c>
      <c r="P15" s="92">
        <v>94.22</v>
      </c>
      <c r="Q15" s="92">
        <v>88</v>
      </c>
      <c r="R15" s="92">
        <v>62.48</v>
      </c>
      <c r="S15" s="92">
        <v>88</v>
      </c>
      <c r="T15" s="92">
        <v>62.47</v>
      </c>
      <c r="U15" s="92">
        <v>88</v>
      </c>
      <c r="V15" s="92">
        <v>62.63</v>
      </c>
      <c r="W15" s="92">
        <v>88</v>
      </c>
      <c r="X15" s="92">
        <v>62.48</v>
      </c>
      <c r="Y15" s="92">
        <v>88</v>
      </c>
      <c r="Z15" s="92">
        <v>62.47</v>
      </c>
      <c r="AA15" s="92">
        <v>88</v>
      </c>
      <c r="AB15" s="92">
        <v>62.48</v>
      </c>
    </row>
    <row r="16" spans="1:28">
      <c r="A16" s="92">
        <v>87</v>
      </c>
      <c r="B16" s="92">
        <v>62.18</v>
      </c>
      <c r="C16" s="92">
        <v>87</v>
      </c>
      <c r="D16" s="169">
        <v>62.17</v>
      </c>
      <c r="E16" s="92">
        <v>87</v>
      </c>
      <c r="F16" s="92">
        <v>62.18</v>
      </c>
      <c r="G16" s="92">
        <v>87</v>
      </c>
      <c r="H16" s="92">
        <v>63.28</v>
      </c>
      <c r="I16" s="92">
        <v>87</v>
      </c>
      <c r="J16" s="92">
        <v>62.17</v>
      </c>
      <c r="K16" s="92">
        <v>87</v>
      </c>
      <c r="L16" s="92">
        <v>62.18</v>
      </c>
      <c r="M16" s="92">
        <v>87</v>
      </c>
      <c r="N16" s="92">
        <v>62.17</v>
      </c>
      <c r="O16" s="92">
        <v>87</v>
      </c>
      <c r="P16" s="92">
        <v>93.76</v>
      </c>
      <c r="Q16" s="92">
        <v>87</v>
      </c>
      <c r="R16" s="92">
        <v>62.18</v>
      </c>
      <c r="S16" s="92">
        <v>87</v>
      </c>
      <c r="T16" s="92">
        <v>62.17</v>
      </c>
      <c r="U16" s="92">
        <v>87</v>
      </c>
      <c r="V16" s="92">
        <v>62.25</v>
      </c>
      <c r="W16" s="92">
        <v>87</v>
      </c>
      <c r="X16" s="92">
        <v>62.18</v>
      </c>
      <c r="Y16" s="92">
        <v>87</v>
      </c>
      <c r="Z16" s="92">
        <v>62.17</v>
      </c>
      <c r="AA16" s="92">
        <v>87</v>
      </c>
      <c r="AB16" s="92">
        <v>62.18</v>
      </c>
    </row>
    <row r="17" spans="1:28">
      <c r="A17" s="92">
        <v>86</v>
      </c>
      <c r="B17" s="92">
        <v>61.82</v>
      </c>
      <c r="C17" s="92">
        <v>86</v>
      </c>
      <c r="D17" s="169">
        <v>61.82</v>
      </c>
      <c r="E17" s="92">
        <v>86</v>
      </c>
      <c r="F17" s="92">
        <v>61.82</v>
      </c>
      <c r="G17" s="92">
        <v>86</v>
      </c>
      <c r="H17" s="92">
        <v>62.92</v>
      </c>
      <c r="I17" s="92">
        <v>86</v>
      </c>
      <c r="J17" s="92">
        <v>61.82</v>
      </c>
      <c r="K17" s="92">
        <v>86</v>
      </c>
      <c r="L17" s="92">
        <v>61.81</v>
      </c>
      <c r="M17" s="92">
        <v>86</v>
      </c>
      <c r="N17" s="92">
        <v>61.82</v>
      </c>
      <c r="O17" s="92">
        <v>86</v>
      </c>
      <c r="P17" s="92">
        <v>93.24</v>
      </c>
      <c r="Q17" s="92">
        <v>86</v>
      </c>
      <c r="R17" s="92">
        <v>61.82</v>
      </c>
      <c r="S17" s="92">
        <v>86</v>
      </c>
      <c r="T17" s="92">
        <v>61.82</v>
      </c>
      <c r="U17" s="92">
        <v>86</v>
      </c>
      <c r="V17" s="92">
        <v>62</v>
      </c>
      <c r="W17" s="92">
        <v>86</v>
      </c>
      <c r="X17" s="92">
        <v>61.82</v>
      </c>
      <c r="Y17" s="92">
        <v>86</v>
      </c>
      <c r="Z17" s="92">
        <v>61.82</v>
      </c>
      <c r="AA17" s="92">
        <v>86</v>
      </c>
      <c r="AB17" s="92">
        <v>61.82</v>
      </c>
    </row>
    <row r="18" spans="1:28">
      <c r="A18" s="92">
        <v>85</v>
      </c>
      <c r="B18" s="92">
        <v>61.48</v>
      </c>
      <c r="C18" s="92">
        <v>85</v>
      </c>
      <c r="D18" s="169">
        <v>61.47</v>
      </c>
      <c r="E18" s="92">
        <v>85</v>
      </c>
      <c r="F18" s="92">
        <v>61.48</v>
      </c>
      <c r="G18" s="92">
        <v>85</v>
      </c>
      <c r="H18" s="92">
        <v>62.57</v>
      </c>
      <c r="I18" s="92">
        <v>85</v>
      </c>
      <c r="J18" s="92">
        <v>61.48</v>
      </c>
      <c r="K18" s="92">
        <v>85</v>
      </c>
      <c r="L18" s="92">
        <v>61.48</v>
      </c>
      <c r="M18" s="92">
        <v>85</v>
      </c>
      <c r="N18" s="92">
        <v>61.47</v>
      </c>
      <c r="O18" s="92">
        <v>85</v>
      </c>
      <c r="P18" s="92">
        <v>92.71</v>
      </c>
      <c r="Q18" s="92">
        <v>85</v>
      </c>
      <c r="R18" s="92">
        <v>61.48</v>
      </c>
      <c r="S18" s="92">
        <v>85</v>
      </c>
      <c r="T18" s="92">
        <v>61.47</v>
      </c>
      <c r="U18" s="92">
        <v>85</v>
      </c>
      <c r="V18" s="92">
        <v>61.63</v>
      </c>
      <c r="W18" s="92">
        <v>85</v>
      </c>
      <c r="X18" s="92">
        <v>61.48</v>
      </c>
      <c r="Y18" s="92">
        <v>85</v>
      </c>
      <c r="Z18" s="92">
        <v>61.47</v>
      </c>
      <c r="AA18" s="92">
        <v>85</v>
      </c>
      <c r="AB18" s="92">
        <v>61.48</v>
      </c>
    </row>
    <row r="19" spans="1:28">
      <c r="A19" s="92">
        <v>84</v>
      </c>
      <c r="B19" s="92">
        <v>61.15</v>
      </c>
      <c r="C19" s="92">
        <v>84</v>
      </c>
      <c r="D19" s="169">
        <v>61.14</v>
      </c>
      <c r="E19" s="92">
        <v>84</v>
      </c>
      <c r="F19" s="92">
        <v>61.15</v>
      </c>
      <c r="G19" s="92">
        <v>84</v>
      </c>
      <c r="H19" s="92">
        <v>62.25</v>
      </c>
      <c r="I19" s="92">
        <v>84</v>
      </c>
      <c r="J19" s="92">
        <v>61.15</v>
      </c>
      <c r="K19" s="92">
        <v>84</v>
      </c>
      <c r="L19" s="92">
        <v>61.16</v>
      </c>
      <c r="M19" s="92">
        <v>84</v>
      </c>
      <c r="N19" s="92">
        <v>61.14</v>
      </c>
      <c r="O19" s="92">
        <v>84</v>
      </c>
      <c r="P19" s="92">
        <v>92.21</v>
      </c>
      <c r="Q19" s="92">
        <v>84</v>
      </c>
      <c r="R19" s="92">
        <v>61.15</v>
      </c>
      <c r="S19" s="92">
        <v>84</v>
      </c>
      <c r="T19" s="92">
        <v>61.14</v>
      </c>
      <c r="U19" s="92">
        <v>84</v>
      </c>
      <c r="V19" s="92">
        <v>61.38</v>
      </c>
      <c r="W19" s="92">
        <v>84</v>
      </c>
      <c r="X19" s="92">
        <v>61.15</v>
      </c>
      <c r="Y19" s="92">
        <v>84</v>
      </c>
      <c r="Z19" s="92">
        <v>61.14</v>
      </c>
      <c r="AA19" s="92">
        <v>84</v>
      </c>
      <c r="AB19" s="92">
        <v>61.15</v>
      </c>
    </row>
    <row r="20" spans="1:28">
      <c r="A20" s="92">
        <v>83</v>
      </c>
      <c r="B20" s="92">
        <v>60.8</v>
      </c>
      <c r="C20" s="92">
        <v>83</v>
      </c>
      <c r="D20" s="169">
        <v>60.8</v>
      </c>
      <c r="E20" s="92">
        <v>83</v>
      </c>
      <c r="F20" s="92">
        <v>60.8</v>
      </c>
      <c r="G20" s="92">
        <v>83</v>
      </c>
      <c r="H20" s="92">
        <v>61.9</v>
      </c>
      <c r="I20" s="92">
        <v>83</v>
      </c>
      <c r="J20" s="92">
        <v>60.8</v>
      </c>
      <c r="K20" s="92">
        <v>83</v>
      </c>
      <c r="L20" s="92">
        <v>60.79</v>
      </c>
      <c r="M20" s="92">
        <v>83</v>
      </c>
      <c r="N20" s="92">
        <v>60.8</v>
      </c>
      <c r="O20" s="92">
        <v>83</v>
      </c>
      <c r="P20" s="92">
        <v>91.7</v>
      </c>
      <c r="Q20" s="92">
        <v>83</v>
      </c>
      <c r="R20" s="92">
        <v>60.8</v>
      </c>
      <c r="S20" s="92">
        <v>83</v>
      </c>
      <c r="T20" s="92">
        <v>60.8</v>
      </c>
      <c r="U20" s="92">
        <v>83</v>
      </c>
      <c r="V20" s="92">
        <v>61</v>
      </c>
      <c r="W20" s="92">
        <v>83</v>
      </c>
      <c r="X20" s="92">
        <v>60.8</v>
      </c>
      <c r="Y20" s="92">
        <v>83</v>
      </c>
      <c r="Z20" s="92">
        <v>60.8</v>
      </c>
      <c r="AA20" s="92">
        <v>83</v>
      </c>
      <c r="AB20" s="92">
        <v>60.8</v>
      </c>
    </row>
    <row r="21" spans="1:28">
      <c r="A21" s="92">
        <v>82</v>
      </c>
      <c r="B21" s="92">
        <v>60.49</v>
      </c>
      <c r="C21" s="92">
        <v>82</v>
      </c>
      <c r="D21" s="169">
        <v>60.48</v>
      </c>
      <c r="E21" s="92">
        <v>82</v>
      </c>
      <c r="F21" s="92">
        <v>60.49</v>
      </c>
      <c r="G21" s="92">
        <v>82</v>
      </c>
      <c r="H21" s="92">
        <v>61.59</v>
      </c>
      <c r="I21" s="92">
        <v>82</v>
      </c>
      <c r="J21" s="92">
        <v>60.49</v>
      </c>
      <c r="K21" s="92">
        <v>82</v>
      </c>
      <c r="L21" s="92">
        <v>60.49</v>
      </c>
      <c r="M21" s="92">
        <v>82</v>
      </c>
      <c r="N21" s="92">
        <v>60.48</v>
      </c>
      <c r="O21" s="92">
        <v>82</v>
      </c>
      <c r="P21" s="92">
        <v>91.22</v>
      </c>
      <c r="Q21" s="92">
        <v>82</v>
      </c>
      <c r="R21" s="92">
        <v>60.49</v>
      </c>
      <c r="S21" s="92">
        <v>82</v>
      </c>
      <c r="T21" s="92">
        <v>60.48</v>
      </c>
      <c r="U21" s="92">
        <v>82</v>
      </c>
      <c r="V21" s="92">
        <v>60.5</v>
      </c>
      <c r="W21" s="92">
        <v>82</v>
      </c>
      <c r="X21" s="92">
        <v>60.49</v>
      </c>
      <c r="Y21" s="92">
        <v>82</v>
      </c>
      <c r="Z21" s="92">
        <v>60.48</v>
      </c>
      <c r="AA21" s="92">
        <v>82</v>
      </c>
      <c r="AB21" s="92">
        <v>60.49</v>
      </c>
    </row>
    <row r="22" spans="1:28">
      <c r="A22" s="92">
        <v>81</v>
      </c>
      <c r="B22" s="92">
        <v>60.21</v>
      </c>
      <c r="C22" s="92">
        <v>81</v>
      </c>
      <c r="D22" s="169">
        <v>60.21</v>
      </c>
      <c r="E22" s="92">
        <v>81</v>
      </c>
      <c r="F22" s="92">
        <v>60.21</v>
      </c>
      <c r="G22" s="92">
        <v>81</v>
      </c>
      <c r="H22" s="92">
        <v>61.31</v>
      </c>
      <c r="I22" s="92">
        <v>81</v>
      </c>
      <c r="J22" s="92">
        <v>60.2</v>
      </c>
      <c r="K22" s="92">
        <v>81</v>
      </c>
      <c r="L22" s="92">
        <v>60.23</v>
      </c>
      <c r="M22" s="92">
        <v>81</v>
      </c>
      <c r="N22" s="92">
        <v>60.21</v>
      </c>
      <c r="O22" s="92">
        <v>81</v>
      </c>
      <c r="P22" s="92">
        <v>90.81</v>
      </c>
      <c r="Q22" s="92">
        <v>81</v>
      </c>
      <c r="R22" s="92">
        <v>60.21</v>
      </c>
      <c r="S22" s="92">
        <v>81</v>
      </c>
      <c r="T22" s="92">
        <v>60.21</v>
      </c>
      <c r="U22" s="92">
        <v>81</v>
      </c>
      <c r="V22" s="92">
        <v>60.25</v>
      </c>
      <c r="W22" s="92">
        <v>81</v>
      </c>
      <c r="X22" s="92">
        <v>60.21</v>
      </c>
      <c r="Y22" s="92">
        <v>81</v>
      </c>
      <c r="Z22" s="92">
        <v>60.21</v>
      </c>
      <c r="AA22" s="92">
        <v>81</v>
      </c>
      <c r="AB22" s="92">
        <v>60.21</v>
      </c>
    </row>
    <row r="23" spans="1:28">
      <c r="A23" s="92">
        <v>80</v>
      </c>
      <c r="B23" s="92">
        <v>59.92</v>
      </c>
      <c r="C23" s="92">
        <v>80</v>
      </c>
      <c r="D23" s="169">
        <v>59.91</v>
      </c>
      <c r="E23" s="92">
        <v>80</v>
      </c>
      <c r="F23" s="92">
        <v>59.91</v>
      </c>
      <c r="G23" s="92">
        <v>80</v>
      </c>
      <c r="H23" s="92">
        <v>61.01</v>
      </c>
      <c r="I23" s="92">
        <v>80</v>
      </c>
      <c r="J23" s="92">
        <v>59.89</v>
      </c>
      <c r="K23" s="92">
        <v>80</v>
      </c>
      <c r="L23" s="92">
        <v>59.93</v>
      </c>
      <c r="M23" s="92">
        <v>80</v>
      </c>
      <c r="N23" s="92">
        <v>59.91</v>
      </c>
      <c r="O23" s="92">
        <v>80</v>
      </c>
      <c r="P23" s="92">
        <v>90.36</v>
      </c>
      <c r="Q23" s="92">
        <v>80</v>
      </c>
      <c r="R23" s="92">
        <v>59.92</v>
      </c>
      <c r="S23" s="92">
        <v>80</v>
      </c>
      <c r="T23" s="92">
        <v>59.91</v>
      </c>
      <c r="U23" s="92">
        <v>80</v>
      </c>
      <c r="V23" s="92">
        <v>60</v>
      </c>
      <c r="W23" s="92">
        <v>80</v>
      </c>
      <c r="X23" s="92">
        <v>59.91</v>
      </c>
      <c r="Y23" s="92">
        <v>80</v>
      </c>
      <c r="Z23" s="92">
        <v>59.91</v>
      </c>
      <c r="AA23" s="92">
        <v>80</v>
      </c>
      <c r="AB23" s="92">
        <v>59.92</v>
      </c>
    </row>
    <row r="24" spans="1:28">
      <c r="A24" s="92">
        <v>79</v>
      </c>
      <c r="B24" s="92">
        <v>59.62</v>
      </c>
      <c r="C24" s="92">
        <v>79</v>
      </c>
      <c r="D24" s="169">
        <v>59.61</v>
      </c>
      <c r="E24" s="92">
        <v>79</v>
      </c>
      <c r="F24" s="92">
        <v>59.62</v>
      </c>
      <c r="G24" s="92">
        <v>79</v>
      </c>
      <c r="H24" s="92">
        <v>60.72</v>
      </c>
      <c r="I24" s="92">
        <v>79</v>
      </c>
      <c r="J24" s="92">
        <v>59.59</v>
      </c>
      <c r="K24" s="92">
        <v>79</v>
      </c>
      <c r="L24" s="92">
        <v>59.6</v>
      </c>
      <c r="M24" s="92">
        <v>79</v>
      </c>
      <c r="N24" s="92">
        <v>59.61</v>
      </c>
      <c r="O24" s="92">
        <v>79</v>
      </c>
      <c r="P24" s="92">
        <v>89.92</v>
      </c>
      <c r="Q24" s="92">
        <v>79</v>
      </c>
      <c r="R24" s="92">
        <v>59.63</v>
      </c>
      <c r="S24" s="92">
        <v>79</v>
      </c>
      <c r="T24" s="92">
        <v>59.32</v>
      </c>
      <c r="U24" s="92">
        <v>79</v>
      </c>
      <c r="V24" s="92">
        <v>59.63</v>
      </c>
      <c r="W24" s="92">
        <v>79</v>
      </c>
      <c r="X24" s="92">
        <v>59.62</v>
      </c>
      <c r="Y24" s="92">
        <v>79</v>
      </c>
      <c r="Z24" s="92">
        <v>59.61</v>
      </c>
      <c r="AA24" s="92">
        <v>79</v>
      </c>
      <c r="AB24" s="92">
        <v>59.62</v>
      </c>
    </row>
    <row r="25" spans="1:28">
      <c r="A25" s="92">
        <v>78</v>
      </c>
      <c r="B25" s="92">
        <v>59.32</v>
      </c>
      <c r="C25" s="92">
        <v>78</v>
      </c>
      <c r="D25" s="169">
        <v>59.32</v>
      </c>
      <c r="E25" s="92">
        <v>78</v>
      </c>
      <c r="F25" s="92">
        <v>59.32</v>
      </c>
      <c r="G25" s="92">
        <v>78</v>
      </c>
      <c r="H25" s="92">
        <v>60.42</v>
      </c>
      <c r="I25" s="92">
        <v>78</v>
      </c>
      <c r="J25" s="92">
        <v>59.28</v>
      </c>
      <c r="K25" s="92">
        <v>78</v>
      </c>
      <c r="L25" s="92">
        <v>59.31</v>
      </c>
      <c r="M25" s="92">
        <v>78</v>
      </c>
      <c r="N25" s="92">
        <v>59.32</v>
      </c>
      <c r="O25" s="92">
        <v>78</v>
      </c>
      <c r="P25" s="92">
        <v>89.47</v>
      </c>
      <c r="Q25" s="92">
        <v>78</v>
      </c>
      <c r="R25" s="92">
        <v>59.34</v>
      </c>
      <c r="S25" s="92">
        <v>78</v>
      </c>
      <c r="T25" s="92">
        <v>59.01</v>
      </c>
      <c r="U25" s="92">
        <v>78</v>
      </c>
      <c r="V25" s="92">
        <v>59.38</v>
      </c>
      <c r="W25" s="92">
        <v>78</v>
      </c>
      <c r="X25" s="92">
        <v>59.32</v>
      </c>
      <c r="Y25" s="92">
        <v>78</v>
      </c>
      <c r="Z25" s="92">
        <v>59.32</v>
      </c>
      <c r="AA25" s="92">
        <v>78</v>
      </c>
      <c r="AB25" s="92">
        <v>59.32</v>
      </c>
    </row>
    <row r="26" spans="1:28">
      <c r="A26" s="92">
        <v>77</v>
      </c>
      <c r="B26" s="92">
        <v>59.01</v>
      </c>
      <c r="C26" s="92">
        <v>77</v>
      </c>
      <c r="D26" s="169">
        <v>59.01</v>
      </c>
      <c r="E26" s="92">
        <v>77</v>
      </c>
      <c r="F26" s="92">
        <v>59.01</v>
      </c>
      <c r="G26" s="92">
        <v>77</v>
      </c>
      <c r="H26" s="92">
        <v>60.11</v>
      </c>
      <c r="I26" s="92">
        <v>77</v>
      </c>
      <c r="J26" s="92">
        <v>58.99</v>
      </c>
      <c r="K26" s="92">
        <v>77</v>
      </c>
      <c r="L26" s="92">
        <v>59.03</v>
      </c>
      <c r="M26" s="92">
        <v>77</v>
      </c>
      <c r="N26" s="92">
        <v>59.01</v>
      </c>
      <c r="O26" s="92">
        <v>77</v>
      </c>
      <c r="P26" s="92">
        <v>89</v>
      </c>
      <c r="Q26" s="92">
        <v>77</v>
      </c>
      <c r="R26" s="92">
        <v>59.04</v>
      </c>
      <c r="S26" s="92">
        <v>77</v>
      </c>
      <c r="T26" s="92">
        <v>58.69</v>
      </c>
      <c r="U26" s="92">
        <v>77</v>
      </c>
      <c r="V26" s="92">
        <v>59.25</v>
      </c>
      <c r="W26" s="92">
        <v>77</v>
      </c>
      <c r="X26" s="92">
        <v>59.01</v>
      </c>
      <c r="Y26" s="92">
        <v>77</v>
      </c>
      <c r="Z26" s="92">
        <v>59.01</v>
      </c>
      <c r="AA26" s="92">
        <v>77</v>
      </c>
      <c r="AB26" s="92">
        <v>59.01</v>
      </c>
    </row>
    <row r="27" spans="1:28">
      <c r="A27" s="92">
        <v>76</v>
      </c>
      <c r="B27" s="92">
        <v>58.7</v>
      </c>
      <c r="C27" s="92">
        <v>76</v>
      </c>
      <c r="D27" s="169">
        <v>58.69</v>
      </c>
      <c r="E27" s="92">
        <v>76</v>
      </c>
      <c r="F27" s="92">
        <v>58.7</v>
      </c>
      <c r="G27" s="92">
        <v>76</v>
      </c>
      <c r="H27" s="92">
        <v>59.8</v>
      </c>
      <c r="I27" s="92">
        <v>76</v>
      </c>
      <c r="J27" s="92">
        <v>58.7</v>
      </c>
      <c r="K27" s="92">
        <v>76</v>
      </c>
      <c r="L27" s="92">
        <v>58.7</v>
      </c>
      <c r="M27" s="92">
        <v>76</v>
      </c>
      <c r="N27" s="92">
        <v>58.69</v>
      </c>
      <c r="O27" s="92">
        <v>76</v>
      </c>
      <c r="P27" s="92">
        <v>88.52</v>
      </c>
      <c r="Q27" s="92">
        <v>76</v>
      </c>
      <c r="R27" s="92">
        <v>58.74</v>
      </c>
      <c r="S27" s="92">
        <v>76</v>
      </c>
      <c r="T27" s="92">
        <v>58.42</v>
      </c>
      <c r="U27" s="92">
        <v>76</v>
      </c>
      <c r="V27" s="92">
        <v>59</v>
      </c>
      <c r="W27" s="92">
        <v>76</v>
      </c>
      <c r="X27" s="92">
        <v>58.7</v>
      </c>
      <c r="Y27" s="92">
        <v>76</v>
      </c>
      <c r="Z27" s="92">
        <v>58.69</v>
      </c>
      <c r="AA27" s="92">
        <v>76</v>
      </c>
      <c r="AB27" s="92">
        <v>58.7</v>
      </c>
    </row>
    <row r="28" spans="1:28">
      <c r="A28" s="92">
        <v>75</v>
      </c>
      <c r="B28" s="92">
        <v>58.42</v>
      </c>
      <c r="C28" s="92">
        <v>75</v>
      </c>
      <c r="D28" s="169">
        <v>58.42</v>
      </c>
      <c r="E28" s="92">
        <v>75</v>
      </c>
      <c r="F28" s="92">
        <v>58.42</v>
      </c>
      <c r="G28" s="92">
        <v>75</v>
      </c>
      <c r="H28" s="92">
        <v>59.52</v>
      </c>
      <c r="I28" s="92">
        <v>75</v>
      </c>
      <c r="J28" s="92">
        <v>58.42</v>
      </c>
      <c r="K28" s="92">
        <v>75</v>
      </c>
      <c r="L28" s="92">
        <v>58.41</v>
      </c>
      <c r="M28" s="92">
        <v>75</v>
      </c>
      <c r="N28" s="92">
        <v>58.42</v>
      </c>
      <c r="O28" s="92">
        <v>75</v>
      </c>
      <c r="P28" s="92">
        <v>88.11</v>
      </c>
      <c r="Q28" s="92">
        <v>75</v>
      </c>
      <c r="R28" s="92">
        <v>58.44</v>
      </c>
      <c r="S28" s="92">
        <v>75</v>
      </c>
      <c r="T28" s="92">
        <v>58.17</v>
      </c>
      <c r="U28" s="92">
        <v>75</v>
      </c>
      <c r="V28" s="92">
        <v>58.63</v>
      </c>
      <c r="W28" s="92">
        <v>75</v>
      </c>
      <c r="X28" s="92">
        <v>58.42</v>
      </c>
      <c r="Y28" s="92">
        <v>75</v>
      </c>
      <c r="Z28" s="92">
        <v>58.42</v>
      </c>
      <c r="AA28" s="92">
        <v>75</v>
      </c>
      <c r="AB28" s="92">
        <v>58.42</v>
      </c>
    </row>
    <row r="29" spans="1:28">
      <c r="A29" s="92">
        <v>74</v>
      </c>
      <c r="B29" s="92">
        <v>58.18</v>
      </c>
      <c r="C29" s="92">
        <v>74</v>
      </c>
      <c r="D29" s="169">
        <v>58.17</v>
      </c>
      <c r="E29" s="92">
        <v>74</v>
      </c>
      <c r="F29" s="92">
        <v>58.18</v>
      </c>
      <c r="G29" s="92">
        <v>74</v>
      </c>
      <c r="H29" s="92">
        <v>59.27</v>
      </c>
      <c r="I29" s="92">
        <v>74</v>
      </c>
      <c r="J29" s="92">
        <v>58.18</v>
      </c>
      <c r="K29" s="92">
        <v>74</v>
      </c>
      <c r="L29" s="92">
        <v>58.18</v>
      </c>
      <c r="M29" s="92">
        <v>74</v>
      </c>
      <c r="N29" s="92">
        <v>58.17</v>
      </c>
      <c r="O29" s="92">
        <v>74</v>
      </c>
      <c r="P29" s="92">
        <v>87.73</v>
      </c>
      <c r="Q29" s="92">
        <v>74</v>
      </c>
      <c r="R29" s="92">
        <v>58.18</v>
      </c>
      <c r="S29" s="92">
        <v>74</v>
      </c>
      <c r="T29" s="92">
        <v>57.89</v>
      </c>
      <c r="U29" s="92">
        <v>74</v>
      </c>
      <c r="V29" s="92">
        <v>58.5</v>
      </c>
      <c r="W29" s="92">
        <v>74</v>
      </c>
      <c r="X29" s="92">
        <v>58.18</v>
      </c>
      <c r="Y29" s="92">
        <v>74</v>
      </c>
      <c r="Z29" s="92">
        <v>58.17</v>
      </c>
      <c r="AA29" s="92">
        <v>74</v>
      </c>
      <c r="AB29" s="92">
        <v>58.18</v>
      </c>
    </row>
    <row r="30" spans="1:28">
      <c r="A30" s="92">
        <v>73</v>
      </c>
      <c r="B30" s="92">
        <v>57.9</v>
      </c>
      <c r="C30" s="92">
        <v>73</v>
      </c>
      <c r="D30" s="169">
        <v>57.89</v>
      </c>
      <c r="E30" s="92">
        <v>73</v>
      </c>
      <c r="F30" s="92">
        <v>57.9</v>
      </c>
      <c r="G30" s="92">
        <v>73</v>
      </c>
      <c r="H30" s="92">
        <v>58.99</v>
      </c>
      <c r="I30" s="92">
        <v>73</v>
      </c>
      <c r="J30" s="92">
        <v>57.9</v>
      </c>
      <c r="K30" s="92">
        <v>73</v>
      </c>
      <c r="L30" s="92">
        <v>57.9</v>
      </c>
      <c r="M30" s="92">
        <v>73</v>
      </c>
      <c r="N30" s="92">
        <v>57.89</v>
      </c>
      <c r="O30" s="92">
        <v>73</v>
      </c>
      <c r="P30" s="92">
        <v>87.31</v>
      </c>
      <c r="Q30" s="92">
        <v>73</v>
      </c>
      <c r="R30" s="92">
        <v>57.9</v>
      </c>
      <c r="S30" s="92">
        <v>73</v>
      </c>
      <c r="T30" s="92">
        <v>57.6</v>
      </c>
      <c r="U30" s="92">
        <v>73</v>
      </c>
      <c r="V30" s="92">
        <v>58</v>
      </c>
      <c r="W30" s="92">
        <v>73</v>
      </c>
      <c r="X30" s="92">
        <v>57.9</v>
      </c>
      <c r="Y30" s="92">
        <v>73</v>
      </c>
      <c r="Z30" s="92">
        <v>57.89</v>
      </c>
      <c r="AA30" s="92">
        <v>73</v>
      </c>
      <c r="AB30" s="92">
        <v>57.9</v>
      </c>
    </row>
    <row r="31" spans="1:28">
      <c r="A31" s="92">
        <v>72</v>
      </c>
      <c r="B31" s="92">
        <v>57.61</v>
      </c>
      <c r="C31" s="92">
        <v>72</v>
      </c>
      <c r="D31" s="169">
        <v>57.6</v>
      </c>
      <c r="E31" s="92">
        <v>72</v>
      </c>
      <c r="F31" s="92">
        <v>57.61</v>
      </c>
      <c r="G31" s="92">
        <v>72</v>
      </c>
      <c r="H31" s="92">
        <v>58.71</v>
      </c>
      <c r="I31" s="92">
        <v>72</v>
      </c>
      <c r="J31" s="92">
        <v>57.61</v>
      </c>
      <c r="K31" s="92">
        <v>72</v>
      </c>
      <c r="L31" s="92">
        <v>57.6</v>
      </c>
      <c r="M31" s="92">
        <v>72</v>
      </c>
      <c r="N31" s="92">
        <v>57.6</v>
      </c>
      <c r="O31" s="92">
        <v>72</v>
      </c>
      <c r="P31" s="92">
        <v>86.87</v>
      </c>
      <c r="Q31" s="92">
        <v>72</v>
      </c>
      <c r="R31" s="92">
        <v>57.61</v>
      </c>
      <c r="S31" s="92">
        <v>72</v>
      </c>
      <c r="T31" s="92">
        <v>57.27</v>
      </c>
      <c r="U31" s="92">
        <v>72</v>
      </c>
      <c r="V31" s="92">
        <v>57.75</v>
      </c>
      <c r="W31" s="92">
        <v>72</v>
      </c>
      <c r="X31" s="92">
        <v>57.61</v>
      </c>
      <c r="Y31" s="92">
        <v>72</v>
      </c>
      <c r="Z31" s="92">
        <v>57.6</v>
      </c>
      <c r="AA31" s="92">
        <v>72</v>
      </c>
      <c r="AB31" s="92">
        <v>57.61</v>
      </c>
    </row>
    <row r="32" spans="1:28">
      <c r="A32" s="92">
        <v>71</v>
      </c>
      <c r="B32" s="92">
        <v>57.28</v>
      </c>
      <c r="C32" s="92">
        <v>71</v>
      </c>
      <c r="D32" s="169">
        <v>57.27</v>
      </c>
      <c r="E32" s="92">
        <v>71</v>
      </c>
      <c r="F32" s="92">
        <v>57.28</v>
      </c>
      <c r="G32" s="92">
        <v>71</v>
      </c>
      <c r="H32" s="92">
        <v>58.37</v>
      </c>
      <c r="I32" s="92">
        <v>71</v>
      </c>
      <c r="J32" s="92">
        <v>57.28</v>
      </c>
      <c r="K32" s="92">
        <v>71</v>
      </c>
      <c r="L32" s="92">
        <v>57.28</v>
      </c>
      <c r="M32" s="92">
        <v>71</v>
      </c>
      <c r="N32" s="92">
        <v>57.27</v>
      </c>
      <c r="O32" s="92">
        <v>71</v>
      </c>
      <c r="P32" s="92">
        <v>86.37</v>
      </c>
      <c r="Q32" s="92">
        <v>71</v>
      </c>
      <c r="R32" s="92">
        <v>57.28</v>
      </c>
      <c r="S32" s="92">
        <v>71</v>
      </c>
      <c r="T32" s="92">
        <v>56.9</v>
      </c>
      <c r="U32" s="92">
        <v>71</v>
      </c>
      <c r="V32" s="92">
        <v>57.25</v>
      </c>
      <c r="W32" s="92">
        <v>71</v>
      </c>
      <c r="X32" s="92">
        <v>57.28</v>
      </c>
      <c r="Y32" s="92">
        <v>71</v>
      </c>
      <c r="Z32" s="92">
        <v>57.27</v>
      </c>
      <c r="AA32" s="92">
        <v>71</v>
      </c>
      <c r="AB32" s="92">
        <v>57.28</v>
      </c>
    </row>
    <row r="33" spans="1:28">
      <c r="A33" s="92">
        <v>70</v>
      </c>
      <c r="B33" s="92">
        <v>56.91</v>
      </c>
      <c r="C33" s="92">
        <v>70</v>
      </c>
      <c r="D33" s="169">
        <v>56.9</v>
      </c>
      <c r="E33" s="92">
        <v>70</v>
      </c>
      <c r="F33" s="92">
        <v>56.91</v>
      </c>
      <c r="G33" s="92">
        <v>70</v>
      </c>
      <c r="H33" s="92">
        <v>58.01</v>
      </c>
      <c r="I33" s="92">
        <v>70</v>
      </c>
      <c r="J33" s="92">
        <v>56.91</v>
      </c>
      <c r="K33" s="92">
        <v>70</v>
      </c>
      <c r="L33" s="92">
        <v>56.91</v>
      </c>
      <c r="M33" s="92">
        <v>70</v>
      </c>
      <c r="N33" s="92">
        <v>56.9</v>
      </c>
      <c r="O33" s="92">
        <v>70</v>
      </c>
      <c r="P33" s="92">
        <v>85.82</v>
      </c>
      <c r="Q33" s="92">
        <v>70</v>
      </c>
      <c r="R33" s="92">
        <v>56.91</v>
      </c>
      <c r="S33" s="92">
        <v>70</v>
      </c>
      <c r="T33" s="92">
        <v>56.56</v>
      </c>
      <c r="U33" s="92">
        <v>70</v>
      </c>
      <c r="V33" s="92">
        <v>57</v>
      </c>
      <c r="W33" s="92">
        <v>70</v>
      </c>
      <c r="X33" s="92">
        <v>56.91</v>
      </c>
      <c r="Y33" s="92">
        <v>70</v>
      </c>
      <c r="Z33" s="92">
        <v>56.9</v>
      </c>
      <c r="AA33" s="92">
        <v>70</v>
      </c>
      <c r="AB33" s="92">
        <v>56.91</v>
      </c>
    </row>
    <row r="34" spans="1:28">
      <c r="A34" s="92">
        <v>69</v>
      </c>
      <c r="B34" s="92">
        <v>56.57</v>
      </c>
      <c r="C34" s="92">
        <v>69</v>
      </c>
      <c r="D34" s="169">
        <v>56.56</v>
      </c>
      <c r="E34" s="92">
        <v>69</v>
      </c>
      <c r="F34" s="92">
        <v>56.57</v>
      </c>
      <c r="G34" s="92">
        <v>69</v>
      </c>
      <c r="H34" s="92">
        <v>57.67</v>
      </c>
      <c r="I34" s="92">
        <v>69</v>
      </c>
      <c r="J34" s="92">
        <v>56.57</v>
      </c>
      <c r="K34" s="92">
        <v>69</v>
      </c>
      <c r="L34" s="92">
        <v>56.58</v>
      </c>
      <c r="M34" s="92">
        <v>69</v>
      </c>
      <c r="N34" s="92">
        <v>56.56</v>
      </c>
      <c r="O34" s="92">
        <v>69</v>
      </c>
      <c r="P34" s="92">
        <v>85.3</v>
      </c>
      <c r="Q34" s="92">
        <v>69</v>
      </c>
      <c r="R34" s="92">
        <v>56.57</v>
      </c>
      <c r="S34" s="92">
        <v>69</v>
      </c>
      <c r="T34" s="92">
        <v>56.26</v>
      </c>
      <c r="U34" s="92">
        <v>69</v>
      </c>
      <c r="V34" s="92">
        <v>56.88</v>
      </c>
      <c r="W34" s="92">
        <v>69</v>
      </c>
      <c r="X34" s="92">
        <v>56.57</v>
      </c>
      <c r="Y34" s="92">
        <v>69</v>
      </c>
      <c r="Z34" s="92">
        <v>56.56</v>
      </c>
      <c r="AA34" s="92">
        <v>69</v>
      </c>
      <c r="AB34" s="92">
        <v>56.57</v>
      </c>
    </row>
    <row r="35" spans="1:28">
      <c r="A35" s="92">
        <v>68</v>
      </c>
      <c r="B35" s="92">
        <v>56.27</v>
      </c>
      <c r="C35" s="92">
        <v>68</v>
      </c>
      <c r="D35" s="169">
        <v>56.26</v>
      </c>
      <c r="E35" s="92">
        <v>68</v>
      </c>
      <c r="F35" s="92">
        <v>56.27</v>
      </c>
      <c r="G35" s="92">
        <v>68</v>
      </c>
      <c r="H35" s="92">
        <v>57.37</v>
      </c>
      <c r="I35" s="92">
        <v>68</v>
      </c>
      <c r="J35" s="92">
        <v>56.27</v>
      </c>
      <c r="K35" s="92">
        <v>68</v>
      </c>
      <c r="L35" s="92">
        <v>56.26</v>
      </c>
      <c r="M35" s="92">
        <v>68</v>
      </c>
      <c r="N35" s="92">
        <v>56.26</v>
      </c>
      <c r="O35" s="92">
        <v>68</v>
      </c>
      <c r="P35" s="92">
        <v>84.85</v>
      </c>
      <c r="Q35" s="92">
        <v>68</v>
      </c>
      <c r="R35" s="92">
        <v>56.27</v>
      </c>
      <c r="S35" s="92">
        <v>68</v>
      </c>
      <c r="T35" s="92">
        <v>55.98</v>
      </c>
      <c r="U35" s="92">
        <v>68</v>
      </c>
      <c r="V35" s="92">
        <v>56.63</v>
      </c>
      <c r="W35" s="92">
        <v>68</v>
      </c>
      <c r="X35" s="92">
        <v>56.27</v>
      </c>
      <c r="Y35" s="92">
        <v>68</v>
      </c>
      <c r="Z35" s="92">
        <v>56.26</v>
      </c>
      <c r="AA35" s="92">
        <v>68</v>
      </c>
      <c r="AB35" s="92">
        <v>56.27</v>
      </c>
    </row>
    <row r="36" spans="1:28">
      <c r="A36" s="92">
        <v>67</v>
      </c>
      <c r="B36" s="92">
        <v>55.99</v>
      </c>
      <c r="C36" s="92">
        <v>67</v>
      </c>
      <c r="D36" s="169">
        <v>55.98</v>
      </c>
      <c r="E36" s="92">
        <v>67</v>
      </c>
      <c r="F36" s="92">
        <v>55.99</v>
      </c>
      <c r="G36" s="92">
        <v>67</v>
      </c>
      <c r="H36" s="92">
        <v>57.09</v>
      </c>
      <c r="I36" s="92">
        <v>67</v>
      </c>
      <c r="J36" s="92">
        <v>55.99</v>
      </c>
      <c r="K36" s="92">
        <v>67</v>
      </c>
      <c r="L36" s="92">
        <v>55.99</v>
      </c>
      <c r="M36" s="92">
        <v>67</v>
      </c>
      <c r="N36" s="92">
        <v>55.98</v>
      </c>
      <c r="O36" s="92">
        <v>67</v>
      </c>
      <c r="P36" s="92">
        <v>84.43</v>
      </c>
      <c r="Q36" s="92">
        <v>67</v>
      </c>
      <c r="R36" s="92">
        <v>55.99</v>
      </c>
      <c r="S36" s="92">
        <v>67</v>
      </c>
      <c r="T36" s="92">
        <v>55.71</v>
      </c>
      <c r="U36" s="92">
        <v>67</v>
      </c>
      <c r="V36" s="92">
        <v>56.13</v>
      </c>
      <c r="W36" s="92">
        <v>67</v>
      </c>
      <c r="X36" s="92">
        <v>55.99</v>
      </c>
      <c r="Y36" s="92">
        <v>67</v>
      </c>
      <c r="Z36" s="92">
        <v>55.98</v>
      </c>
      <c r="AA36" s="92">
        <v>67</v>
      </c>
      <c r="AB36" s="92">
        <v>55.99</v>
      </c>
    </row>
    <row r="37" spans="1:28">
      <c r="A37" s="92">
        <v>66</v>
      </c>
      <c r="B37" s="92">
        <v>55.71</v>
      </c>
      <c r="C37" s="92">
        <v>66</v>
      </c>
      <c r="D37" s="169">
        <v>55.71</v>
      </c>
      <c r="E37" s="92">
        <v>66</v>
      </c>
      <c r="F37" s="92">
        <v>55.71</v>
      </c>
      <c r="G37" s="92">
        <v>66</v>
      </c>
      <c r="H37" s="92">
        <v>56.81</v>
      </c>
      <c r="I37" s="92">
        <v>66</v>
      </c>
      <c r="J37" s="92">
        <v>55.71</v>
      </c>
      <c r="K37" s="92">
        <v>66</v>
      </c>
      <c r="L37" s="92">
        <v>55.71</v>
      </c>
      <c r="M37" s="92">
        <v>66</v>
      </c>
      <c r="N37" s="92">
        <v>55.71</v>
      </c>
      <c r="O37" s="92">
        <v>66</v>
      </c>
      <c r="P37" s="92">
        <v>84.02</v>
      </c>
      <c r="Q37" s="92">
        <v>66</v>
      </c>
      <c r="R37" s="92">
        <v>55.71</v>
      </c>
      <c r="S37" s="92">
        <v>66</v>
      </c>
      <c r="T37" s="92">
        <v>55.44</v>
      </c>
      <c r="U37" s="92">
        <v>66</v>
      </c>
      <c r="V37" s="92">
        <v>56</v>
      </c>
      <c r="W37" s="92">
        <v>66</v>
      </c>
      <c r="X37" s="92">
        <v>55.71</v>
      </c>
      <c r="Y37" s="92">
        <v>66</v>
      </c>
      <c r="Z37" s="92">
        <v>55.71</v>
      </c>
      <c r="AA37" s="92">
        <v>66</v>
      </c>
      <c r="AB37" s="92">
        <v>55.71</v>
      </c>
    </row>
    <row r="38" spans="1:28">
      <c r="A38" s="92">
        <v>65</v>
      </c>
      <c r="B38" s="92">
        <v>55.44</v>
      </c>
      <c r="C38" s="92">
        <v>65</v>
      </c>
      <c r="D38" s="169">
        <v>55.44</v>
      </c>
      <c r="E38" s="92">
        <v>65</v>
      </c>
      <c r="F38" s="92">
        <v>55.44</v>
      </c>
      <c r="G38" s="92">
        <v>65</v>
      </c>
      <c r="H38" s="92">
        <v>56.54</v>
      </c>
      <c r="I38" s="92">
        <v>65</v>
      </c>
      <c r="J38" s="92">
        <v>55.44</v>
      </c>
      <c r="K38" s="92">
        <v>65</v>
      </c>
      <c r="L38" s="92">
        <v>55.45</v>
      </c>
      <c r="M38" s="92">
        <v>65</v>
      </c>
      <c r="N38" s="92">
        <v>55.44</v>
      </c>
      <c r="O38" s="92">
        <v>65</v>
      </c>
      <c r="P38" s="92">
        <v>83.61</v>
      </c>
      <c r="Q38" s="92">
        <v>65</v>
      </c>
      <c r="R38" s="92">
        <v>55.44</v>
      </c>
      <c r="S38" s="92">
        <v>65</v>
      </c>
      <c r="T38" s="92">
        <v>55.14</v>
      </c>
      <c r="U38" s="92">
        <v>65</v>
      </c>
      <c r="V38" s="92">
        <v>55.5</v>
      </c>
      <c r="W38" s="92">
        <v>65</v>
      </c>
      <c r="X38" s="92">
        <v>55.44</v>
      </c>
      <c r="Y38" s="92">
        <v>65</v>
      </c>
      <c r="Z38" s="92">
        <v>55.44</v>
      </c>
      <c r="AA38" s="92">
        <v>65</v>
      </c>
      <c r="AB38" s="92">
        <v>55.44</v>
      </c>
    </row>
    <row r="39" spans="1:28">
      <c r="A39" s="92">
        <v>64</v>
      </c>
      <c r="B39" s="92">
        <v>55.15</v>
      </c>
      <c r="C39" s="92">
        <v>64</v>
      </c>
      <c r="D39" s="169">
        <v>55.14</v>
      </c>
      <c r="E39" s="92">
        <v>64</v>
      </c>
      <c r="F39" s="92">
        <v>55.15</v>
      </c>
      <c r="G39" s="92">
        <v>64</v>
      </c>
      <c r="H39" s="92">
        <v>56.25</v>
      </c>
      <c r="I39" s="92">
        <v>64</v>
      </c>
      <c r="J39" s="92">
        <v>55.15</v>
      </c>
      <c r="K39" s="92">
        <v>64</v>
      </c>
      <c r="L39" s="92">
        <v>55.15</v>
      </c>
      <c r="M39" s="92">
        <v>64</v>
      </c>
      <c r="N39" s="92">
        <v>55.14</v>
      </c>
      <c r="O39" s="92">
        <v>64</v>
      </c>
      <c r="P39" s="92">
        <v>83.16</v>
      </c>
      <c r="Q39" s="92">
        <v>64</v>
      </c>
      <c r="R39" s="92">
        <v>55.15</v>
      </c>
      <c r="S39" s="92">
        <v>64</v>
      </c>
      <c r="T39" s="92">
        <v>54.85</v>
      </c>
      <c r="U39" s="92">
        <v>64</v>
      </c>
      <c r="V39" s="92">
        <v>55.38</v>
      </c>
      <c r="W39" s="92">
        <v>64</v>
      </c>
      <c r="X39" s="92">
        <v>55.15</v>
      </c>
      <c r="Y39" s="92">
        <v>64</v>
      </c>
      <c r="Z39" s="92">
        <v>55.14</v>
      </c>
      <c r="AA39" s="92">
        <v>64</v>
      </c>
      <c r="AB39" s="92">
        <v>55.15</v>
      </c>
    </row>
    <row r="40" spans="1:28">
      <c r="A40" s="92">
        <v>63</v>
      </c>
      <c r="B40" s="92">
        <v>54.85</v>
      </c>
      <c r="C40" s="92">
        <v>63</v>
      </c>
      <c r="D40" s="169">
        <v>54.85</v>
      </c>
      <c r="E40" s="92">
        <v>63</v>
      </c>
      <c r="F40" s="92">
        <v>54.85</v>
      </c>
      <c r="G40" s="92">
        <v>63</v>
      </c>
      <c r="H40" s="92">
        <v>55.95</v>
      </c>
      <c r="I40" s="92">
        <v>63</v>
      </c>
      <c r="J40" s="92">
        <v>54.85</v>
      </c>
      <c r="K40" s="92">
        <v>63</v>
      </c>
      <c r="L40" s="92">
        <v>54.84</v>
      </c>
      <c r="M40" s="92">
        <v>63</v>
      </c>
      <c r="N40" s="92">
        <v>54.85</v>
      </c>
      <c r="O40" s="92">
        <v>63</v>
      </c>
      <c r="P40" s="92">
        <v>82.72</v>
      </c>
      <c r="Q40" s="92">
        <v>63</v>
      </c>
      <c r="R40" s="92">
        <v>54.85</v>
      </c>
      <c r="S40" s="92">
        <v>63</v>
      </c>
      <c r="T40" s="92">
        <v>54.58</v>
      </c>
      <c r="U40" s="92">
        <v>63</v>
      </c>
      <c r="V40" s="92">
        <v>55</v>
      </c>
      <c r="W40" s="92">
        <v>63</v>
      </c>
      <c r="X40" s="92">
        <v>54.85</v>
      </c>
      <c r="Y40" s="92">
        <v>63</v>
      </c>
      <c r="Z40" s="92">
        <v>54.85</v>
      </c>
      <c r="AA40" s="92">
        <v>63</v>
      </c>
      <c r="AB40" s="92">
        <v>54.85</v>
      </c>
    </row>
    <row r="41" spans="1:28">
      <c r="A41" s="92">
        <v>62</v>
      </c>
      <c r="B41" s="92">
        <v>54.59</v>
      </c>
      <c r="C41" s="92">
        <v>62</v>
      </c>
      <c r="D41" s="169">
        <v>54.58</v>
      </c>
      <c r="E41" s="92">
        <v>62</v>
      </c>
      <c r="F41" s="92">
        <v>54.59</v>
      </c>
      <c r="G41" s="92">
        <v>62</v>
      </c>
      <c r="H41" s="92">
        <v>55.69</v>
      </c>
      <c r="I41" s="92">
        <v>62</v>
      </c>
      <c r="J41" s="92">
        <v>54.59</v>
      </c>
      <c r="K41" s="92">
        <v>62</v>
      </c>
      <c r="L41" s="92">
        <v>54.59</v>
      </c>
      <c r="M41" s="92">
        <v>62</v>
      </c>
      <c r="N41" s="92">
        <v>54.58</v>
      </c>
      <c r="O41" s="92">
        <v>62</v>
      </c>
      <c r="P41" s="92">
        <v>82.32</v>
      </c>
      <c r="Q41" s="92">
        <v>62</v>
      </c>
      <c r="R41" s="92">
        <v>54.59</v>
      </c>
      <c r="S41" s="92">
        <v>62</v>
      </c>
      <c r="T41" s="92">
        <v>54.25</v>
      </c>
      <c r="U41" s="92">
        <v>62</v>
      </c>
      <c r="V41" s="92">
        <v>54.75</v>
      </c>
      <c r="W41" s="92">
        <v>62</v>
      </c>
      <c r="X41" s="92">
        <v>54.59</v>
      </c>
      <c r="Y41" s="92">
        <v>62</v>
      </c>
      <c r="Z41" s="92">
        <v>54.58</v>
      </c>
      <c r="AA41" s="92">
        <v>62</v>
      </c>
      <c r="AB41" s="92">
        <v>54.59</v>
      </c>
    </row>
    <row r="42" spans="1:28">
      <c r="A42" s="92">
        <v>61</v>
      </c>
      <c r="B42" s="92">
        <v>54.26</v>
      </c>
      <c r="C42" s="92">
        <v>61</v>
      </c>
      <c r="D42" s="169">
        <v>54.25</v>
      </c>
      <c r="E42" s="92">
        <v>61</v>
      </c>
      <c r="F42" s="92">
        <v>54.26</v>
      </c>
      <c r="G42" s="92">
        <v>61</v>
      </c>
      <c r="H42" s="92">
        <v>55.36</v>
      </c>
      <c r="I42" s="92">
        <v>61</v>
      </c>
      <c r="J42" s="92">
        <v>54.26</v>
      </c>
      <c r="K42" s="92">
        <v>61</v>
      </c>
      <c r="L42" s="92">
        <v>54.26</v>
      </c>
      <c r="M42" s="92">
        <v>61</v>
      </c>
      <c r="N42" s="92">
        <v>54.25</v>
      </c>
      <c r="O42" s="92">
        <v>61</v>
      </c>
      <c r="P42" s="92">
        <v>81.819999999999993</v>
      </c>
      <c r="Q42" s="92">
        <v>61</v>
      </c>
      <c r="R42" s="92">
        <v>54.26</v>
      </c>
      <c r="S42" s="92">
        <v>61</v>
      </c>
      <c r="T42" s="92">
        <v>53.92</v>
      </c>
      <c r="U42" s="92">
        <v>61</v>
      </c>
      <c r="V42" s="92">
        <v>54.63</v>
      </c>
      <c r="W42" s="92">
        <v>61</v>
      </c>
      <c r="X42" s="92">
        <v>54.26</v>
      </c>
      <c r="Y42" s="92">
        <v>61</v>
      </c>
      <c r="Z42" s="92">
        <v>54.25</v>
      </c>
      <c r="AA42" s="92">
        <v>61</v>
      </c>
      <c r="AB42" s="92">
        <v>54.26</v>
      </c>
    </row>
    <row r="43" spans="1:28">
      <c r="A43" s="92">
        <v>60</v>
      </c>
      <c r="B43" s="92">
        <v>53.92</v>
      </c>
      <c r="C43" s="92">
        <v>60</v>
      </c>
      <c r="D43" s="169">
        <v>53.92</v>
      </c>
      <c r="E43" s="92">
        <v>60</v>
      </c>
      <c r="F43" s="92">
        <v>53.92</v>
      </c>
      <c r="G43" s="92">
        <v>60</v>
      </c>
      <c r="H43" s="92">
        <v>55.02</v>
      </c>
      <c r="I43" s="92">
        <v>60</v>
      </c>
      <c r="J43" s="92">
        <v>53.92</v>
      </c>
      <c r="K43" s="92">
        <v>60</v>
      </c>
      <c r="L43" s="92">
        <v>53.91</v>
      </c>
      <c r="M43" s="92">
        <v>60</v>
      </c>
      <c r="N43" s="92">
        <v>53.92</v>
      </c>
      <c r="O43" s="92">
        <v>60</v>
      </c>
      <c r="P43" s="92">
        <v>81.319999999999993</v>
      </c>
      <c r="Q43" s="92">
        <v>60</v>
      </c>
      <c r="R43" s="92">
        <v>53.92</v>
      </c>
      <c r="S43" s="92">
        <v>60</v>
      </c>
      <c r="T43" s="92">
        <v>53.54</v>
      </c>
      <c r="U43" s="92">
        <v>60</v>
      </c>
      <c r="V43" s="92">
        <v>54</v>
      </c>
      <c r="W43" s="92">
        <v>60</v>
      </c>
      <c r="X43" s="92">
        <v>53.92</v>
      </c>
      <c r="Y43" s="92">
        <v>60</v>
      </c>
      <c r="Z43" s="92">
        <v>53.92</v>
      </c>
      <c r="AA43" s="92">
        <v>60</v>
      </c>
      <c r="AB43" s="92">
        <v>53.92</v>
      </c>
    </row>
    <row r="44" spans="1:28">
      <c r="A44" s="92">
        <v>59</v>
      </c>
      <c r="B44" s="92">
        <v>53.54</v>
      </c>
      <c r="C44" s="92">
        <v>59</v>
      </c>
      <c r="D44" s="169">
        <v>53.54</v>
      </c>
      <c r="E44" s="92">
        <v>59</v>
      </c>
      <c r="F44" s="92">
        <v>53.54</v>
      </c>
      <c r="G44" s="92">
        <v>59</v>
      </c>
      <c r="H44" s="92">
        <v>54.64</v>
      </c>
      <c r="I44" s="92">
        <v>59</v>
      </c>
      <c r="J44" s="92">
        <v>53.54</v>
      </c>
      <c r="K44" s="92">
        <v>59</v>
      </c>
      <c r="L44" s="92">
        <v>53.54</v>
      </c>
      <c r="M44" s="92">
        <v>59</v>
      </c>
      <c r="N44" s="92">
        <v>53.54</v>
      </c>
      <c r="O44" s="92">
        <v>59</v>
      </c>
      <c r="P44" s="92">
        <v>80.75</v>
      </c>
      <c r="Q44" s="92">
        <v>59</v>
      </c>
      <c r="R44" s="92">
        <v>53.54</v>
      </c>
      <c r="S44" s="92">
        <v>59</v>
      </c>
      <c r="T44" s="92">
        <v>53.2</v>
      </c>
      <c r="U44" s="92">
        <v>59</v>
      </c>
      <c r="V44" s="92">
        <v>53.75</v>
      </c>
      <c r="W44" s="92">
        <v>59</v>
      </c>
      <c r="X44" s="92">
        <v>53.54</v>
      </c>
      <c r="Y44" s="92">
        <v>59</v>
      </c>
      <c r="Z44" s="92">
        <v>53.54</v>
      </c>
      <c r="AA44" s="92">
        <v>59</v>
      </c>
      <c r="AB44" s="92">
        <v>53.54</v>
      </c>
    </row>
    <row r="45" spans="1:28">
      <c r="A45" s="92">
        <v>58</v>
      </c>
      <c r="B45" s="92">
        <v>53.21</v>
      </c>
      <c r="C45" s="92">
        <v>58</v>
      </c>
      <c r="D45" s="169">
        <v>53.2</v>
      </c>
      <c r="E45" s="92">
        <v>58</v>
      </c>
      <c r="F45" s="92">
        <v>53.21</v>
      </c>
      <c r="G45" s="92">
        <v>58</v>
      </c>
      <c r="H45" s="92">
        <v>54.31</v>
      </c>
      <c r="I45" s="92">
        <v>58</v>
      </c>
      <c r="J45" s="92">
        <v>53.21</v>
      </c>
      <c r="K45" s="92">
        <v>58</v>
      </c>
      <c r="L45" s="92">
        <v>53.23</v>
      </c>
      <c r="M45" s="92">
        <v>58</v>
      </c>
      <c r="N45" s="92">
        <v>53.2</v>
      </c>
      <c r="O45" s="92">
        <v>58</v>
      </c>
      <c r="P45" s="92">
        <v>80.239999999999995</v>
      </c>
      <c r="Q45" s="92">
        <v>58</v>
      </c>
      <c r="R45" s="92">
        <v>53.21</v>
      </c>
      <c r="S45" s="92">
        <v>58</v>
      </c>
      <c r="T45" s="92">
        <v>52.87</v>
      </c>
      <c r="U45" s="92">
        <v>58</v>
      </c>
      <c r="V45" s="92">
        <v>53.38</v>
      </c>
      <c r="W45" s="92">
        <v>58</v>
      </c>
      <c r="X45" s="92">
        <v>53.21</v>
      </c>
      <c r="Y45" s="92">
        <v>58</v>
      </c>
      <c r="Z45" s="92">
        <v>53.2</v>
      </c>
      <c r="AA45" s="92">
        <v>58</v>
      </c>
      <c r="AB45" s="92">
        <v>53.21</v>
      </c>
    </row>
    <row r="46" spans="1:28">
      <c r="A46" s="92">
        <v>57</v>
      </c>
      <c r="B46" s="92">
        <v>52.88</v>
      </c>
      <c r="C46" s="92">
        <v>57</v>
      </c>
      <c r="D46" s="169">
        <v>52.87</v>
      </c>
      <c r="E46" s="92">
        <v>57</v>
      </c>
      <c r="F46" s="92">
        <v>52.88</v>
      </c>
      <c r="G46" s="92">
        <v>57</v>
      </c>
      <c r="H46" s="92">
        <v>53.97</v>
      </c>
      <c r="I46" s="92">
        <v>57</v>
      </c>
      <c r="J46" s="92">
        <v>52.88</v>
      </c>
      <c r="K46" s="92">
        <v>57</v>
      </c>
      <c r="L46" s="92">
        <v>52.88</v>
      </c>
      <c r="M46" s="92">
        <v>57</v>
      </c>
      <c r="N46" s="92">
        <v>52.87</v>
      </c>
      <c r="O46" s="92">
        <v>57</v>
      </c>
      <c r="P46" s="92">
        <v>79.739999999999995</v>
      </c>
      <c r="Q46" s="92">
        <v>57</v>
      </c>
      <c r="R46" s="92">
        <v>52.88</v>
      </c>
      <c r="S46" s="92">
        <v>57</v>
      </c>
      <c r="T46" s="92">
        <v>52.54</v>
      </c>
      <c r="U46" s="92">
        <v>57</v>
      </c>
      <c r="V46" s="92">
        <v>53</v>
      </c>
      <c r="W46" s="92">
        <v>57</v>
      </c>
      <c r="X46" s="92">
        <v>52.88</v>
      </c>
      <c r="Y46" s="92">
        <v>57</v>
      </c>
      <c r="Z46" s="92">
        <v>52.87</v>
      </c>
      <c r="AA46" s="92">
        <v>57</v>
      </c>
      <c r="AB46" s="92">
        <v>52.88</v>
      </c>
    </row>
    <row r="47" spans="1:28">
      <c r="A47" s="92">
        <v>56</v>
      </c>
      <c r="B47" s="92">
        <v>52.54</v>
      </c>
      <c r="C47" s="92">
        <v>56</v>
      </c>
      <c r="D47" s="169">
        <v>52.54</v>
      </c>
      <c r="E47" s="92">
        <v>56</v>
      </c>
      <c r="F47" s="92">
        <v>52.54</v>
      </c>
      <c r="G47" s="92">
        <v>56</v>
      </c>
      <c r="H47" s="92">
        <v>53.64</v>
      </c>
      <c r="I47" s="92">
        <v>56</v>
      </c>
      <c r="J47" s="92">
        <v>52.54</v>
      </c>
      <c r="K47" s="92">
        <v>56</v>
      </c>
      <c r="L47" s="92">
        <v>52.53</v>
      </c>
      <c r="M47" s="92">
        <v>56</v>
      </c>
      <c r="N47" s="92">
        <v>52.54</v>
      </c>
      <c r="O47" s="92">
        <v>56</v>
      </c>
      <c r="P47" s="92">
        <v>79.239999999999995</v>
      </c>
      <c r="Q47" s="92">
        <v>56</v>
      </c>
      <c r="R47" s="92">
        <v>52.54</v>
      </c>
      <c r="S47" s="92">
        <v>56</v>
      </c>
      <c r="T47" s="92">
        <v>52.2</v>
      </c>
      <c r="U47" s="92">
        <v>56</v>
      </c>
      <c r="V47" s="92">
        <v>52.75</v>
      </c>
      <c r="W47" s="92">
        <v>56</v>
      </c>
      <c r="X47" s="92">
        <v>52.54</v>
      </c>
      <c r="Y47" s="92">
        <v>56</v>
      </c>
      <c r="Z47" s="92">
        <v>52.54</v>
      </c>
      <c r="AA47" s="92">
        <v>56</v>
      </c>
      <c r="AB47" s="92">
        <v>52.54</v>
      </c>
    </row>
    <row r="48" spans="1:28">
      <c r="A48" s="92">
        <v>55</v>
      </c>
      <c r="B48" s="92">
        <v>52.21</v>
      </c>
      <c r="C48" s="92">
        <v>55</v>
      </c>
      <c r="D48" s="169">
        <v>52.2</v>
      </c>
      <c r="E48" s="92">
        <v>55</v>
      </c>
      <c r="F48" s="92">
        <v>52.21</v>
      </c>
      <c r="G48" s="92">
        <v>55</v>
      </c>
      <c r="H48" s="92">
        <v>53.31</v>
      </c>
      <c r="I48" s="92">
        <v>55</v>
      </c>
      <c r="J48" s="92">
        <v>52.21</v>
      </c>
      <c r="K48" s="92">
        <v>55</v>
      </c>
      <c r="L48" s="92">
        <v>52.21</v>
      </c>
      <c r="M48" s="92">
        <v>55</v>
      </c>
      <c r="N48" s="92">
        <v>52.2</v>
      </c>
      <c r="O48" s="92">
        <v>55</v>
      </c>
      <c r="P48" s="92">
        <v>78.73</v>
      </c>
      <c r="Q48" s="92">
        <v>55</v>
      </c>
      <c r="R48" s="92">
        <v>52.21</v>
      </c>
      <c r="S48" s="92">
        <v>55</v>
      </c>
      <c r="T48" s="92">
        <v>51.84</v>
      </c>
      <c r="U48" s="92">
        <v>55</v>
      </c>
      <c r="V48" s="92">
        <v>52.5</v>
      </c>
      <c r="W48" s="92">
        <v>55</v>
      </c>
      <c r="X48" s="92">
        <v>52.21</v>
      </c>
      <c r="Y48" s="92">
        <v>55</v>
      </c>
      <c r="Z48" s="92">
        <v>52.2</v>
      </c>
      <c r="AA48" s="92">
        <v>55</v>
      </c>
      <c r="AB48" s="92">
        <v>52.21</v>
      </c>
    </row>
    <row r="49" spans="1:28">
      <c r="A49" s="92">
        <v>54</v>
      </c>
      <c r="B49" s="92">
        <v>51.84</v>
      </c>
      <c r="C49" s="92">
        <v>54</v>
      </c>
      <c r="D49" s="169">
        <v>51.84</v>
      </c>
      <c r="E49" s="92">
        <v>54</v>
      </c>
      <c r="F49" s="92">
        <v>51.84</v>
      </c>
      <c r="G49" s="92">
        <v>54</v>
      </c>
      <c r="H49" s="92">
        <v>52.94</v>
      </c>
      <c r="I49" s="92">
        <v>54</v>
      </c>
      <c r="J49" s="92">
        <v>51.84</v>
      </c>
      <c r="K49" s="92">
        <v>54</v>
      </c>
      <c r="L49" s="92">
        <v>51.85</v>
      </c>
      <c r="M49" s="92">
        <v>54</v>
      </c>
      <c r="N49" s="92">
        <v>51.84</v>
      </c>
      <c r="O49" s="92">
        <v>54</v>
      </c>
      <c r="P49" s="92">
        <v>78.180000000000007</v>
      </c>
      <c r="Q49" s="92">
        <v>54</v>
      </c>
      <c r="R49" s="92">
        <v>51.84</v>
      </c>
      <c r="S49" s="92">
        <v>54</v>
      </c>
      <c r="T49" s="92">
        <v>51.45</v>
      </c>
      <c r="U49" s="92">
        <v>54</v>
      </c>
      <c r="V49" s="92">
        <v>52.25</v>
      </c>
      <c r="W49" s="92">
        <v>54</v>
      </c>
      <c r="X49" s="92">
        <v>51.84</v>
      </c>
      <c r="Y49" s="92">
        <v>54</v>
      </c>
      <c r="Z49" s="92">
        <v>51.84</v>
      </c>
      <c r="AA49" s="92">
        <v>54</v>
      </c>
      <c r="AB49" s="92">
        <v>51.84</v>
      </c>
    </row>
    <row r="50" spans="1:28">
      <c r="A50" s="92">
        <v>53</v>
      </c>
      <c r="B50" s="92">
        <v>51.46</v>
      </c>
      <c r="C50" s="92">
        <v>53</v>
      </c>
      <c r="D50" s="169">
        <v>51.45</v>
      </c>
      <c r="E50" s="92">
        <v>53</v>
      </c>
      <c r="F50" s="92">
        <v>51.44</v>
      </c>
      <c r="G50" s="92">
        <v>53</v>
      </c>
      <c r="H50" s="92">
        <v>52.56</v>
      </c>
      <c r="I50" s="92">
        <v>53</v>
      </c>
      <c r="J50" s="92">
        <v>51.46</v>
      </c>
      <c r="K50" s="92">
        <v>53</v>
      </c>
      <c r="L50" s="92">
        <v>51.45</v>
      </c>
      <c r="M50" s="92">
        <v>53</v>
      </c>
      <c r="N50" s="92">
        <v>51.45</v>
      </c>
      <c r="O50" s="92">
        <v>53</v>
      </c>
      <c r="P50" s="92">
        <v>77.599999999999994</v>
      </c>
      <c r="Q50" s="92">
        <v>53</v>
      </c>
      <c r="R50" s="92">
        <v>51.46</v>
      </c>
      <c r="S50" s="92">
        <v>53</v>
      </c>
      <c r="T50" s="92">
        <v>51.08</v>
      </c>
      <c r="U50" s="92">
        <v>53</v>
      </c>
      <c r="V50" s="92">
        <v>51.5</v>
      </c>
      <c r="W50" s="92">
        <v>53</v>
      </c>
      <c r="X50" s="92">
        <v>51.46</v>
      </c>
      <c r="Y50" s="92">
        <v>53</v>
      </c>
      <c r="Z50" s="92">
        <v>51.45</v>
      </c>
      <c r="AA50" s="92">
        <v>53</v>
      </c>
      <c r="AB50" s="92">
        <v>51.46</v>
      </c>
    </row>
    <row r="51" spans="1:28">
      <c r="A51" s="92">
        <v>52</v>
      </c>
      <c r="B51" s="92">
        <v>51.08</v>
      </c>
      <c r="C51" s="92">
        <v>52</v>
      </c>
      <c r="D51" s="169">
        <v>51.08</v>
      </c>
      <c r="E51" s="92">
        <v>52</v>
      </c>
      <c r="F51" s="92">
        <v>51.08</v>
      </c>
      <c r="G51" s="92">
        <v>52</v>
      </c>
      <c r="H51" s="92">
        <v>52.18</v>
      </c>
      <c r="I51" s="92">
        <v>52</v>
      </c>
      <c r="J51" s="92">
        <v>51.08</v>
      </c>
      <c r="K51" s="92">
        <v>52</v>
      </c>
      <c r="L51" s="92">
        <v>51.09</v>
      </c>
      <c r="M51" s="92">
        <v>52</v>
      </c>
      <c r="N51" s="92">
        <v>51.08</v>
      </c>
      <c r="O51" s="92">
        <v>52</v>
      </c>
      <c r="P51" s="92">
        <v>77.040000000000006</v>
      </c>
      <c r="Q51" s="92">
        <v>52</v>
      </c>
      <c r="R51" s="92">
        <v>51.08</v>
      </c>
      <c r="S51" s="92">
        <v>52</v>
      </c>
      <c r="T51" s="92">
        <v>50.72</v>
      </c>
      <c r="U51" s="92">
        <v>52</v>
      </c>
      <c r="V51" s="92">
        <v>51.38</v>
      </c>
      <c r="W51" s="92">
        <v>52</v>
      </c>
      <c r="X51" s="92">
        <v>51.08</v>
      </c>
      <c r="Y51" s="92">
        <v>52</v>
      </c>
      <c r="Z51" s="92">
        <v>51.08</v>
      </c>
      <c r="AA51" s="92">
        <v>52</v>
      </c>
      <c r="AB51" s="92">
        <v>51.08</v>
      </c>
    </row>
    <row r="52" spans="1:28">
      <c r="A52" s="92">
        <v>51</v>
      </c>
      <c r="B52" s="92">
        <v>50.73</v>
      </c>
      <c r="C52" s="92">
        <v>51</v>
      </c>
      <c r="D52" s="169">
        <v>50.72</v>
      </c>
      <c r="E52" s="92">
        <v>51</v>
      </c>
      <c r="F52" s="92">
        <v>50.73</v>
      </c>
      <c r="G52" s="92">
        <v>51</v>
      </c>
      <c r="H52" s="92">
        <v>51.83</v>
      </c>
      <c r="I52" s="92">
        <v>51</v>
      </c>
      <c r="J52" s="92">
        <v>50.71</v>
      </c>
      <c r="K52" s="92">
        <v>51</v>
      </c>
      <c r="L52" s="92">
        <v>50.74</v>
      </c>
      <c r="M52" s="92">
        <v>51</v>
      </c>
      <c r="N52" s="92">
        <v>50.72</v>
      </c>
      <c r="O52" s="92">
        <v>51</v>
      </c>
      <c r="P52" s="92">
        <v>76.5</v>
      </c>
      <c r="Q52" s="92">
        <v>51</v>
      </c>
      <c r="R52" s="92">
        <v>50.73</v>
      </c>
      <c r="S52" s="92">
        <v>51</v>
      </c>
      <c r="T52" s="92">
        <v>50.73</v>
      </c>
      <c r="U52" s="92">
        <v>51</v>
      </c>
      <c r="V52" s="92">
        <v>50.75</v>
      </c>
      <c r="W52" s="92">
        <v>51</v>
      </c>
      <c r="X52" s="92">
        <v>50.73</v>
      </c>
      <c r="Y52" s="92">
        <v>51</v>
      </c>
      <c r="Z52" s="92">
        <v>50.72</v>
      </c>
      <c r="AA52" s="92">
        <v>51</v>
      </c>
      <c r="AB52" s="92">
        <v>50.73</v>
      </c>
    </row>
    <row r="53" spans="1:28">
      <c r="A53" s="92">
        <v>50</v>
      </c>
      <c r="B53" s="92">
        <v>50.34</v>
      </c>
      <c r="C53" s="92">
        <v>50</v>
      </c>
      <c r="D53" s="169">
        <v>50.34</v>
      </c>
      <c r="E53" s="92">
        <v>50</v>
      </c>
      <c r="F53" s="92">
        <v>50.34</v>
      </c>
      <c r="G53" s="92">
        <v>50</v>
      </c>
      <c r="H53" s="92">
        <v>51.44</v>
      </c>
      <c r="I53" s="92">
        <v>50</v>
      </c>
      <c r="J53" s="92">
        <v>50.3</v>
      </c>
      <c r="K53" s="92">
        <v>50</v>
      </c>
      <c r="L53" s="92">
        <v>50.33</v>
      </c>
      <c r="M53" s="92">
        <v>50</v>
      </c>
      <c r="N53" s="92">
        <v>50.34</v>
      </c>
      <c r="O53" s="92">
        <v>50</v>
      </c>
      <c r="P53" s="92">
        <v>75.92</v>
      </c>
      <c r="Q53" s="92">
        <v>50</v>
      </c>
      <c r="R53" s="92">
        <v>50.34</v>
      </c>
      <c r="S53" s="92">
        <v>50</v>
      </c>
      <c r="T53" s="92">
        <v>50.34</v>
      </c>
      <c r="U53" s="92">
        <v>50</v>
      </c>
      <c r="V53" s="92">
        <v>50.5</v>
      </c>
      <c r="W53" s="92">
        <v>50</v>
      </c>
      <c r="X53" s="92">
        <v>50.34</v>
      </c>
      <c r="Y53" s="92">
        <v>50</v>
      </c>
      <c r="Z53" s="92">
        <v>50.34</v>
      </c>
      <c r="AA53" s="92">
        <v>50</v>
      </c>
      <c r="AB53" s="92">
        <v>50.34</v>
      </c>
    </row>
    <row r="54" spans="1:28">
      <c r="A54" s="92">
        <v>49</v>
      </c>
      <c r="B54" s="92">
        <v>49.96</v>
      </c>
      <c r="C54" s="92">
        <v>49</v>
      </c>
      <c r="D54" s="169">
        <v>49.95</v>
      </c>
      <c r="E54" s="92">
        <v>49</v>
      </c>
      <c r="F54" s="92">
        <v>49.96</v>
      </c>
      <c r="G54" s="92">
        <v>49</v>
      </c>
      <c r="H54" s="92">
        <v>51.06</v>
      </c>
      <c r="I54" s="92">
        <v>49</v>
      </c>
      <c r="J54" s="92">
        <v>49.92</v>
      </c>
      <c r="K54" s="92">
        <v>49</v>
      </c>
      <c r="L54" s="92">
        <v>49.96</v>
      </c>
      <c r="M54" s="92">
        <v>49</v>
      </c>
      <c r="N54" s="92">
        <v>49.95</v>
      </c>
      <c r="O54" s="92">
        <v>49</v>
      </c>
      <c r="P54" s="92">
        <v>75.33</v>
      </c>
      <c r="Q54" s="92">
        <v>49</v>
      </c>
      <c r="R54" s="92">
        <v>49.96</v>
      </c>
      <c r="S54" s="92">
        <v>49</v>
      </c>
      <c r="T54" s="92">
        <v>49.95</v>
      </c>
      <c r="U54" s="92">
        <v>49</v>
      </c>
      <c r="V54" s="92">
        <v>50</v>
      </c>
      <c r="W54" s="92">
        <v>49</v>
      </c>
      <c r="X54" s="92">
        <v>49.96</v>
      </c>
      <c r="Y54" s="92">
        <v>49</v>
      </c>
      <c r="Z54" s="92">
        <v>49.95</v>
      </c>
      <c r="AA54" s="92">
        <v>49</v>
      </c>
      <c r="AB54" s="92">
        <v>49.96</v>
      </c>
    </row>
    <row r="55" spans="1:28">
      <c r="A55" s="92">
        <v>48</v>
      </c>
      <c r="B55" s="92">
        <v>49.6</v>
      </c>
      <c r="C55" s="92">
        <v>48</v>
      </c>
      <c r="D55" s="169">
        <v>49.59</v>
      </c>
      <c r="E55" s="92">
        <v>48</v>
      </c>
      <c r="F55" s="92">
        <v>49.59</v>
      </c>
      <c r="G55" s="92">
        <v>48</v>
      </c>
      <c r="H55" s="92">
        <v>50.69</v>
      </c>
      <c r="I55" s="92">
        <v>48</v>
      </c>
      <c r="J55" s="92">
        <v>49.55</v>
      </c>
      <c r="K55" s="92">
        <v>48</v>
      </c>
      <c r="L55" s="92">
        <v>49.61</v>
      </c>
      <c r="M55" s="92">
        <v>48</v>
      </c>
      <c r="N55" s="92">
        <v>49.59</v>
      </c>
      <c r="O55" s="92">
        <v>48</v>
      </c>
      <c r="P55" s="92">
        <v>74.78</v>
      </c>
      <c r="Q55" s="92">
        <v>48</v>
      </c>
      <c r="R55" s="92">
        <v>49.6</v>
      </c>
      <c r="S55" s="92">
        <v>48</v>
      </c>
      <c r="T55" s="92">
        <v>49.22</v>
      </c>
      <c r="U55" s="92">
        <v>48</v>
      </c>
      <c r="V55" s="92">
        <v>50</v>
      </c>
      <c r="W55" s="92">
        <v>48</v>
      </c>
      <c r="X55" s="92">
        <v>49.59</v>
      </c>
      <c r="Y55" s="92">
        <v>48</v>
      </c>
      <c r="Z55" s="92">
        <v>49.59</v>
      </c>
      <c r="AA55" s="92">
        <v>48</v>
      </c>
      <c r="AB55" s="92">
        <v>49.6</v>
      </c>
    </row>
    <row r="56" spans="1:28">
      <c r="A56" s="92">
        <v>47</v>
      </c>
      <c r="B56" s="92">
        <v>49.23</v>
      </c>
      <c r="C56" s="92">
        <v>47</v>
      </c>
      <c r="D56" s="169">
        <v>49.22</v>
      </c>
      <c r="E56" s="92">
        <v>47</v>
      </c>
      <c r="F56" s="92">
        <v>49.23</v>
      </c>
      <c r="G56" s="92">
        <v>47</v>
      </c>
      <c r="H56" s="92">
        <v>50.33</v>
      </c>
      <c r="I56" s="92">
        <v>47</v>
      </c>
      <c r="J56" s="92">
        <v>49.19</v>
      </c>
      <c r="K56" s="92">
        <v>47</v>
      </c>
      <c r="L56" s="92">
        <v>49.21</v>
      </c>
      <c r="M56" s="92">
        <v>47</v>
      </c>
      <c r="N56" s="92">
        <v>49.22</v>
      </c>
      <c r="O56" s="92">
        <v>47</v>
      </c>
      <c r="P56" s="92">
        <v>74.23</v>
      </c>
      <c r="Q56" s="92">
        <v>47</v>
      </c>
      <c r="R56" s="92">
        <v>49.23</v>
      </c>
      <c r="S56" s="92">
        <v>47</v>
      </c>
      <c r="T56" s="92">
        <v>48.82</v>
      </c>
      <c r="U56" s="92">
        <v>47</v>
      </c>
      <c r="V56" s="92">
        <v>49.38</v>
      </c>
      <c r="W56" s="92">
        <v>47</v>
      </c>
      <c r="X56" s="92">
        <v>49.23</v>
      </c>
      <c r="Y56" s="92">
        <v>47</v>
      </c>
      <c r="Z56" s="92">
        <v>49.22</v>
      </c>
      <c r="AA56" s="92">
        <v>47</v>
      </c>
      <c r="AB56" s="92">
        <v>49.23</v>
      </c>
    </row>
    <row r="57" spans="1:28">
      <c r="A57" s="92">
        <v>46</v>
      </c>
      <c r="B57" s="92">
        <v>48.82</v>
      </c>
      <c r="C57" s="92">
        <v>46</v>
      </c>
      <c r="D57" s="169">
        <v>48.82</v>
      </c>
      <c r="E57" s="92">
        <v>46</v>
      </c>
      <c r="F57" s="92">
        <v>48.82</v>
      </c>
      <c r="G57" s="92">
        <v>46</v>
      </c>
      <c r="H57" s="92">
        <v>49.92</v>
      </c>
      <c r="I57" s="92">
        <v>46</v>
      </c>
      <c r="J57" s="92">
        <v>48.78</v>
      </c>
      <c r="K57" s="92">
        <v>46</v>
      </c>
      <c r="L57" s="92">
        <v>48.83</v>
      </c>
      <c r="M57" s="92">
        <v>46</v>
      </c>
      <c r="N57" s="92">
        <v>48.82</v>
      </c>
      <c r="O57" s="92">
        <v>46</v>
      </c>
      <c r="P57" s="92">
        <v>73.63</v>
      </c>
      <c r="Q57" s="92">
        <v>46</v>
      </c>
      <c r="R57" s="92">
        <v>48.82</v>
      </c>
      <c r="S57" s="92">
        <v>46</v>
      </c>
      <c r="T57" s="92">
        <v>48.43</v>
      </c>
      <c r="U57" s="92">
        <v>46</v>
      </c>
      <c r="V57" s="92">
        <v>48.88</v>
      </c>
      <c r="W57" s="92">
        <v>46</v>
      </c>
      <c r="X57" s="92">
        <v>48.82</v>
      </c>
      <c r="Y57" s="92">
        <v>46</v>
      </c>
      <c r="Z57" s="92">
        <v>48.82</v>
      </c>
      <c r="AA57" s="92">
        <v>46</v>
      </c>
      <c r="AB57" s="92">
        <v>48.82</v>
      </c>
    </row>
    <row r="58" spans="1:28">
      <c r="A58" s="92">
        <v>45</v>
      </c>
      <c r="B58" s="92">
        <v>48.44</v>
      </c>
      <c r="C58" s="92">
        <v>45</v>
      </c>
      <c r="D58" s="169">
        <v>48.43</v>
      </c>
      <c r="E58" s="92">
        <v>45</v>
      </c>
      <c r="F58" s="92">
        <v>48.44</v>
      </c>
      <c r="G58" s="92">
        <v>45</v>
      </c>
      <c r="H58" s="92">
        <v>49.54</v>
      </c>
      <c r="I58" s="92">
        <v>45</v>
      </c>
      <c r="J58" s="92">
        <v>48.42</v>
      </c>
      <c r="K58" s="92">
        <v>45</v>
      </c>
      <c r="L58" s="92">
        <v>48.44</v>
      </c>
      <c r="M58" s="92">
        <v>45</v>
      </c>
      <c r="N58" s="92">
        <v>48.43</v>
      </c>
      <c r="O58" s="92">
        <v>45</v>
      </c>
      <c r="P58" s="92">
        <v>73.040000000000006</v>
      </c>
      <c r="Q58" s="92">
        <v>45</v>
      </c>
      <c r="R58" s="92">
        <v>48.44</v>
      </c>
      <c r="S58" s="92">
        <v>45</v>
      </c>
      <c r="T58" s="92">
        <v>48.04</v>
      </c>
      <c r="U58" s="92">
        <v>45</v>
      </c>
      <c r="V58" s="92">
        <v>48.75</v>
      </c>
      <c r="W58" s="92">
        <v>45</v>
      </c>
      <c r="X58" s="92">
        <v>48.44</v>
      </c>
      <c r="Y58" s="92">
        <v>45</v>
      </c>
      <c r="Z58" s="92">
        <v>48.43</v>
      </c>
      <c r="AA58" s="92">
        <v>45</v>
      </c>
      <c r="AB58" s="92">
        <v>48.44</v>
      </c>
    </row>
    <row r="59" spans="1:28">
      <c r="A59" s="92">
        <v>44</v>
      </c>
      <c r="B59" s="92">
        <v>48.04</v>
      </c>
      <c r="C59" s="92">
        <v>44</v>
      </c>
      <c r="D59" s="169">
        <v>48.04</v>
      </c>
      <c r="E59" s="92">
        <v>44</v>
      </c>
      <c r="F59" s="92">
        <v>48.04</v>
      </c>
      <c r="G59" s="92">
        <v>44</v>
      </c>
      <c r="H59" s="92">
        <v>49.14</v>
      </c>
      <c r="I59" s="92">
        <v>44</v>
      </c>
      <c r="J59" s="92">
        <v>48.04</v>
      </c>
      <c r="K59" s="92">
        <v>44</v>
      </c>
      <c r="L59" s="92">
        <v>48.04</v>
      </c>
      <c r="M59" s="92">
        <v>44</v>
      </c>
      <c r="N59" s="92">
        <v>48.04</v>
      </c>
      <c r="O59" s="92">
        <v>44</v>
      </c>
      <c r="P59" s="92">
        <v>72.45</v>
      </c>
      <c r="Q59" s="92">
        <v>44</v>
      </c>
      <c r="R59" s="92">
        <v>48.04</v>
      </c>
      <c r="S59" s="92">
        <v>44</v>
      </c>
      <c r="T59" s="92">
        <v>47.67</v>
      </c>
      <c r="U59" s="92">
        <v>44</v>
      </c>
      <c r="V59" s="92">
        <v>48.13</v>
      </c>
      <c r="W59" s="92">
        <v>44</v>
      </c>
      <c r="X59" s="92">
        <v>48.04</v>
      </c>
      <c r="Y59" s="92">
        <v>44</v>
      </c>
      <c r="Z59" s="92">
        <v>48.04</v>
      </c>
      <c r="AA59" s="92">
        <v>44</v>
      </c>
      <c r="AB59" s="92">
        <v>48.04</v>
      </c>
    </row>
    <row r="60" spans="1:28">
      <c r="A60" s="92">
        <v>43</v>
      </c>
      <c r="B60" s="92">
        <v>47.68</v>
      </c>
      <c r="C60" s="92">
        <v>43</v>
      </c>
      <c r="D60" s="169">
        <v>47.67</v>
      </c>
      <c r="E60" s="92">
        <v>43</v>
      </c>
      <c r="F60" s="92">
        <v>47.68</v>
      </c>
      <c r="G60" s="92">
        <v>43</v>
      </c>
      <c r="H60" s="92">
        <v>48.78</v>
      </c>
      <c r="I60" s="92">
        <v>43</v>
      </c>
      <c r="J60" s="92">
        <v>47.68</v>
      </c>
      <c r="K60" s="92">
        <v>43</v>
      </c>
      <c r="L60" s="92">
        <v>47.69</v>
      </c>
      <c r="M60" s="92">
        <v>43</v>
      </c>
      <c r="N60" s="92">
        <v>47.67</v>
      </c>
      <c r="O60" s="92">
        <v>43</v>
      </c>
      <c r="P60" s="92">
        <v>71.900000000000006</v>
      </c>
      <c r="Q60" s="92">
        <v>43</v>
      </c>
      <c r="R60" s="92">
        <v>47.68</v>
      </c>
      <c r="S60" s="92">
        <v>43</v>
      </c>
      <c r="T60" s="92">
        <v>47.29</v>
      </c>
      <c r="U60" s="92">
        <v>43</v>
      </c>
      <c r="V60" s="92">
        <v>48</v>
      </c>
      <c r="W60" s="92">
        <v>43</v>
      </c>
      <c r="X60" s="92">
        <v>47.68</v>
      </c>
      <c r="Y60" s="92">
        <v>43</v>
      </c>
      <c r="Z60" s="92">
        <v>47.67</v>
      </c>
      <c r="AA60" s="92">
        <v>43</v>
      </c>
      <c r="AB60" s="92">
        <v>47.68</v>
      </c>
    </row>
    <row r="61" spans="1:28">
      <c r="A61" s="92">
        <v>42</v>
      </c>
      <c r="B61" s="92">
        <v>47.29</v>
      </c>
      <c r="C61" s="92">
        <v>42</v>
      </c>
      <c r="D61" s="169">
        <v>47.29</v>
      </c>
      <c r="E61" s="92">
        <v>42</v>
      </c>
      <c r="F61" s="92">
        <v>47.29</v>
      </c>
      <c r="G61" s="92">
        <v>42</v>
      </c>
      <c r="H61" s="92">
        <v>48.39</v>
      </c>
      <c r="I61" s="92">
        <v>42</v>
      </c>
      <c r="J61" s="92">
        <v>47.29</v>
      </c>
      <c r="K61" s="92">
        <v>42</v>
      </c>
      <c r="L61" s="92">
        <v>47.29</v>
      </c>
      <c r="M61" s="92">
        <v>42</v>
      </c>
      <c r="N61" s="92">
        <v>47.29</v>
      </c>
      <c r="O61" s="92">
        <v>42</v>
      </c>
      <c r="P61" s="92">
        <v>71.319999999999993</v>
      </c>
      <c r="Q61" s="92">
        <v>42</v>
      </c>
      <c r="R61" s="92">
        <v>47.29</v>
      </c>
      <c r="S61" s="92">
        <v>42</v>
      </c>
      <c r="T61" s="92">
        <v>46.9</v>
      </c>
      <c r="U61" s="92">
        <v>42</v>
      </c>
      <c r="V61" s="92">
        <v>47.5</v>
      </c>
      <c r="W61" s="92">
        <v>42</v>
      </c>
      <c r="X61" s="92">
        <v>47.29</v>
      </c>
      <c r="Y61" s="92">
        <v>42</v>
      </c>
      <c r="Z61" s="92">
        <v>47.29</v>
      </c>
      <c r="AA61" s="92">
        <v>42</v>
      </c>
      <c r="AB61" s="92">
        <v>47.29</v>
      </c>
    </row>
    <row r="62" spans="1:28">
      <c r="A62" s="92">
        <v>41</v>
      </c>
      <c r="B62" s="92">
        <v>46.91</v>
      </c>
      <c r="C62" s="92">
        <v>41</v>
      </c>
      <c r="D62" s="169">
        <v>46.9</v>
      </c>
      <c r="E62" s="92">
        <v>41</v>
      </c>
      <c r="F62" s="92">
        <v>46.91</v>
      </c>
      <c r="G62" s="92">
        <v>41</v>
      </c>
      <c r="H62" s="92">
        <v>48.01</v>
      </c>
      <c r="I62" s="92">
        <v>41</v>
      </c>
      <c r="J62" s="92">
        <v>46.91</v>
      </c>
      <c r="K62" s="92">
        <v>41</v>
      </c>
      <c r="L62" s="92">
        <v>46.9</v>
      </c>
      <c r="M62" s="92">
        <v>41</v>
      </c>
      <c r="N62" s="92">
        <v>46.9</v>
      </c>
      <c r="O62" s="92">
        <v>41</v>
      </c>
      <c r="P62" s="92">
        <v>70.73</v>
      </c>
      <c r="Q62" s="92">
        <v>41</v>
      </c>
      <c r="R62" s="92">
        <v>46.91</v>
      </c>
      <c r="S62" s="92">
        <v>41</v>
      </c>
      <c r="T62" s="92">
        <v>46.54</v>
      </c>
      <c r="U62" s="92">
        <v>41</v>
      </c>
      <c r="V62" s="92">
        <v>47.13</v>
      </c>
      <c r="W62" s="92">
        <v>41</v>
      </c>
      <c r="X62" s="92">
        <v>46.91</v>
      </c>
      <c r="Y62" s="92">
        <v>41</v>
      </c>
      <c r="Z62" s="92">
        <v>46.9</v>
      </c>
      <c r="AA62" s="92">
        <v>41</v>
      </c>
      <c r="AB62" s="92">
        <v>46.91</v>
      </c>
    </row>
    <row r="63" spans="1:28">
      <c r="A63" s="92">
        <v>40</v>
      </c>
      <c r="B63" s="92">
        <v>46.54</v>
      </c>
      <c r="C63" s="92">
        <v>40</v>
      </c>
      <c r="D63" s="169">
        <v>46.54</v>
      </c>
      <c r="E63" s="92">
        <v>40</v>
      </c>
      <c r="F63" s="92">
        <v>46.54</v>
      </c>
      <c r="G63" s="92">
        <v>40</v>
      </c>
      <c r="H63" s="92">
        <v>47.64</v>
      </c>
      <c r="I63" s="92">
        <v>40</v>
      </c>
      <c r="J63" s="92">
        <v>46.52</v>
      </c>
      <c r="K63" s="92">
        <v>40</v>
      </c>
      <c r="L63" s="92">
        <v>46.55</v>
      </c>
      <c r="M63" s="92">
        <v>40</v>
      </c>
      <c r="N63" s="92">
        <v>46.54</v>
      </c>
      <c r="O63" s="92">
        <v>40</v>
      </c>
      <c r="P63" s="92">
        <v>70.19</v>
      </c>
      <c r="Q63" s="92">
        <v>40</v>
      </c>
      <c r="R63" s="92">
        <v>46.54</v>
      </c>
      <c r="S63" s="92">
        <v>40</v>
      </c>
      <c r="T63" s="92">
        <v>46.19</v>
      </c>
      <c r="U63" s="92">
        <v>40</v>
      </c>
      <c r="V63" s="92">
        <v>46.75</v>
      </c>
      <c r="W63" s="92">
        <v>40</v>
      </c>
      <c r="X63" s="92">
        <v>46.54</v>
      </c>
      <c r="Y63" s="92">
        <v>40</v>
      </c>
      <c r="Z63" s="92">
        <v>46.54</v>
      </c>
      <c r="AA63" s="92">
        <v>40</v>
      </c>
      <c r="AB63" s="92">
        <v>46.54</v>
      </c>
    </row>
    <row r="64" spans="1:28">
      <c r="A64" s="92">
        <v>39</v>
      </c>
      <c r="B64" s="92">
        <v>46.2</v>
      </c>
      <c r="C64" s="92">
        <v>39</v>
      </c>
      <c r="D64" s="169">
        <v>46.19</v>
      </c>
      <c r="E64" s="92">
        <v>39</v>
      </c>
      <c r="F64" s="92">
        <v>46.2</v>
      </c>
      <c r="G64" s="92">
        <v>39</v>
      </c>
      <c r="H64" s="92">
        <v>47.3</v>
      </c>
      <c r="I64" s="92">
        <v>39</v>
      </c>
      <c r="J64" s="92">
        <v>46.16</v>
      </c>
      <c r="K64" s="92">
        <v>39</v>
      </c>
      <c r="L64" s="92">
        <v>46.2</v>
      </c>
      <c r="M64" s="92">
        <v>39</v>
      </c>
      <c r="N64" s="92">
        <v>46.19</v>
      </c>
      <c r="O64" s="92">
        <v>39</v>
      </c>
      <c r="P64" s="92">
        <v>69.66</v>
      </c>
      <c r="Q64" s="92">
        <v>39</v>
      </c>
      <c r="R64" s="92">
        <v>46.2</v>
      </c>
      <c r="S64" s="92">
        <v>39</v>
      </c>
      <c r="T64" s="92">
        <v>45.83</v>
      </c>
      <c r="U64" s="92">
        <v>39</v>
      </c>
      <c r="V64" s="92">
        <v>46.5</v>
      </c>
      <c r="W64" s="92">
        <v>39</v>
      </c>
      <c r="X64" s="92">
        <v>46.2</v>
      </c>
      <c r="Y64" s="92">
        <v>39</v>
      </c>
      <c r="Z64" s="92">
        <v>46.19</v>
      </c>
      <c r="AA64" s="92">
        <v>39</v>
      </c>
      <c r="AB64" s="92">
        <v>46.2</v>
      </c>
    </row>
    <row r="65" spans="1:28">
      <c r="A65" s="92">
        <v>38</v>
      </c>
      <c r="B65" s="92">
        <v>45.83</v>
      </c>
      <c r="C65" s="92">
        <v>38</v>
      </c>
      <c r="D65" s="169">
        <v>45.83</v>
      </c>
      <c r="E65" s="92">
        <v>38</v>
      </c>
      <c r="F65" s="92">
        <v>45.83</v>
      </c>
      <c r="G65" s="92">
        <v>38</v>
      </c>
      <c r="H65" s="92">
        <v>46.93</v>
      </c>
      <c r="I65" s="92">
        <v>38</v>
      </c>
      <c r="J65" s="92">
        <v>45.79</v>
      </c>
      <c r="K65" s="92">
        <v>38</v>
      </c>
      <c r="L65" s="92">
        <v>45.83</v>
      </c>
      <c r="M65" s="92">
        <v>38</v>
      </c>
      <c r="N65" s="92">
        <v>45.83</v>
      </c>
      <c r="O65" s="92">
        <v>38</v>
      </c>
      <c r="P65" s="92">
        <v>69.12</v>
      </c>
      <c r="Q65" s="92">
        <v>38</v>
      </c>
      <c r="R65" s="92">
        <v>45.83</v>
      </c>
      <c r="S65" s="92">
        <v>38</v>
      </c>
      <c r="T65" s="92">
        <v>45.47</v>
      </c>
      <c r="U65" s="92">
        <v>38</v>
      </c>
      <c r="V65" s="92">
        <v>46.13</v>
      </c>
      <c r="W65" s="92">
        <v>38</v>
      </c>
      <c r="X65" s="92">
        <v>45.83</v>
      </c>
      <c r="Y65" s="92">
        <v>38</v>
      </c>
      <c r="Z65" s="92">
        <v>45.83</v>
      </c>
      <c r="AA65" s="92">
        <v>38</v>
      </c>
      <c r="AB65" s="92">
        <v>45.83</v>
      </c>
    </row>
    <row r="66" spans="1:28">
      <c r="A66" s="92">
        <v>37</v>
      </c>
      <c r="B66" s="92">
        <v>45.48</v>
      </c>
      <c r="C66" s="92">
        <v>37</v>
      </c>
      <c r="D66" s="169">
        <v>45.47</v>
      </c>
      <c r="E66" s="92">
        <v>37</v>
      </c>
      <c r="F66" s="92">
        <v>45.48</v>
      </c>
      <c r="G66" s="92">
        <v>37</v>
      </c>
      <c r="H66" s="92">
        <v>46.58</v>
      </c>
      <c r="I66" s="92">
        <v>37</v>
      </c>
      <c r="J66" s="92">
        <v>45.46</v>
      </c>
      <c r="K66" s="92">
        <v>37</v>
      </c>
      <c r="L66" s="92">
        <v>45.49</v>
      </c>
      <c r="M66" s="92">
        <v>37</v>
      </c>
      <c r="N66" s="92">
        <v>45.47</v>
      </c>
      <c r="O66" s="92">
        <v>37</v>
      </c>
      <c r="P66" s="92">
        <v>68.58</v>
      </c>
      <c r="Q66" s="92">
        <v>37</v>
      </c>
      <c r="R66" s="92">
        <v>45.48</v>
      </c>
      <c r="S66" s="92">
        <v>37</v>
      </c>
      <c r="T66" s="92">
        <v>45.04</v>
      </c>
      <c r="U66" s="92">
        <v>37</v>
      </c>
      <c r="V66" s="92">
        <v>45.75</v>
      </c>
      <c r="W66" s="92">
        <v>37</v>
      </c>
      <c r="X66" s="92">
        <v>45.48</v>
      </c>
      <c r="Y66" s="92">
        <v>37</v>
      </c>
      <c r="Z66" s="92">
        <v>45.47</v>
      </c>
      <c r="AA66" s="92">
        <v>37</v>
      </c>
      <c r="AB66" s="92">
        <v>45.48</v>
      </c>
    </row>
    <row r="67" spans="1:28">
      <c r="A67" s="92">
        <v>36</v>
      </c>
      <c r="B67" s="92">
        <v>45.04</v>
      </c>
      <c r="C67" s="92">
        <v>36</v>
      </c>
      <c r="D67" s="169">
        <v>45.04</v>
      </c>
      <c r="E67" s="92">
        <v>36</v>
      </c>
      <c r="F67" s="92">
        <v>45.04</v>
      </c>
      <c r="G67" s="92">
        <v>36</v>
      </c>
      <c r="H67" s="92">
        <v>46.14</v>
      </c>
      <c r="I67" s="92">
        <v>36</v>
      </c>
      <c r="J67" s="92">
        <v>45.04</v>
      </c>
      <c r="K67" s="92">
        <v>36</v>
      </c>
      <c r="L67" s="92">
        <v>45.04</v>
      </c>
      <c r="M67" s="92">
        <v>36</v>
      </c>
      <c r="N67" s="92">
        <v>45.04</v>
      </c>
      <c r="O67" s="92">
        <v>36</v>
      </c>
      <c r="P67" s="92">
        <v>67.930000000000007</v>
      </c>
      <c r="Q67" s="92">
        <v>36</v>
      </c>
      <c r="R67" s="92">
        <v>45.04</v>
      </c>
      <c r="S67" s="92">
        <v>36</v>
      </c>
      <c r="T67" s="92">
        <v>44.7</v>
      </c>
      <c r="U67" s="92">
        <v>36</v>
      </c>
      <c r="V67" s="92">
        <v>45.25</v>
      </c>
      <c r="W67" s="92">
        <v>36</v>
      </c>
      <c r="X67" s="92">
        <v>45.04</v>
      </c>
      <c r="Y67" s="92">
        <v>36</v>
      </c>
      <c r="Z67" s="92">
        <v>45.04</v>
      </c>
      <c r="AA67" s="92">
        <v>36</v>
      </c>
      <c r="AB67" s="92">
        <v>45.04</v>
      </c>
    </row>
    <row r="68" spans="1:28">
      <c r="A68" s="92">
        <v>35</v>
      </c>
      <c r="B68" s="92">
        <v>44.71</v>
      </c>
      <c r="C68" s="92">
        <v>35</v>
      </c>
      <c r="D68" s="169">
        <v>44.7</v>
      </c>
      <c r="E68" s="92">
        <v>35</v>
      </c>
      <c r="F68" s="92">
        <v>44.71</v>
      </c>
      <c r="G68" s="92">
        <v>35</v>
      </c>
      <c r="H68" s="92">
        <v>45.81</v>
      </c>
      <c r="I68" s="92">
        <v>35</v>
      </c>
      <c r="J68" s="92">
        <v>44.71</v>
      </c>
      <c r="K68" s="92">
        <v>35</v>
      </c>
      <c r="L68" s="92">
        <v>44.71</v>
      </c>
      <c r="M68" s="92">
        <v>35</v>
      </c>
      <c r="N68" s="92">
        <v>44.7</v>
      </c>
      <c r="O68" s="92">
        <v>35</v>
      </c>
      <c r="P68" s="92">
        <v>67.42</v>
      </c>
      <c r="Q68" s="92">
        <v>35</v>
      </c>
      <c r="R68" s="92">
        <v>44.71</v>
      </c>
      <c r="S68" s="92">
        <v>35</v>
      </c>
      <c r="T68" s="92">
        <v>44.38</v>
      </c>
      <c r="U68" s="92">
        <v>35</v>
      </c>
      <c r="V68" s="92">
        <v>44.88</v>
      </c>
      <c r="W68" s="92">
        <v>35</v>
      </c>
      <c r="X68" s="92">
        <v>44.71</v>
      </c>
      <c r="Y68" s="92">
        <v>35</v>
      </c>
      <c r="Z68" s="92">
        <v>44.7</v>
      </c>
      <c r="AA68" s="92">
        <v>35</v>
      </c>
      <c r="AB68" s="92">
        <v>44.71</v>
      </c>
    </row>
    <row r="69" spans="1:28">
      <c r="A69" s="92">
        <v>34</v>
      </c>
      <c r="B69" s="92">
        <v>44.39</v>
      </c>
      <c r="C69" s="92">
        <v>34</v>
      </c>
      <c r="D69" s="169">
        <v>44.38</v>
      </c>
      <c r="E69" s="92">
        <v>34</v>
      </c>
      <c r="F69" s="92">
        <v>44.39</v>
      </c>
      <c r="G69" s="92">
        <v>34</v>
      </c>
      <c r="H69" s="92">
        <v>45.48</v>
      </c>
      <c r="I69" s="92">
        <v>34</v>
      </c>
      <c r="J69" s="92">
        <v>44.39</v>
      </c>
      <c r="K69" s="92">
        <v>34</v>
      </c>
      <c r="L69" s="92">
        <v>44.39</v>
      </c>
      <c r="M69" s="92">
        <v>34</v>
      </c>
      <c r="N69" s="92">
        <v>44.38</v>
      </c>
      <c r="O69" s="92">
        <v>34</v>
      </c>
      <c r="P69" s="92">
        <v>66.930000000000007</v>
      </c>
      <c r="Q69" s="92">
        <v>34</v>
      </c>
      <c r="R69" s="92">
        <v>44.39</v>
      </c>
      <c r="S69" s="92">
        <v>34</v>
      </c>
      <c r="T69" s="92">
        <v>44.07</v>
      </c>
      <c r="U69" s="92">
        <v>34</v>
      </c>
      <c r="V69" s="92">
        <v>44.5</v>
      </c>
      <c r="W69" s="92">
        <v>34</v>
      </c>
      <c r="X69" s="92">
        <v>44.39</v>
      </c>
      <c r="Y69" s="92">
        <v>34</v>
      </c>
      <c r="Z69" s="92">
        <v>44.38</v>
      </c>
      <c r="AA69" s="92">
        <v>34</v>
      </c>
      <c r="AB69" s="92">
        <v>44.39</v>
      </c>
    </row>
    <row r="70" spans="1:28">
      <c r="A70" s="92">
        <v>33</v>
      </c>
      <c r="B70" s="92">
        <v>44.07</v>
      </c>
      <c r="C70" s="92">
        <v>33</v>
      </c>
      <c r="D70" s="169">
        <v>44.07</v>
      </c>
      <c r="E70" s="92">
        <v>33</v>
      </c>
      <c r="F70" s="92">
        <v>44.07</v>
      </c>
      <c r="G70" s="92">
        <v>33</v>
      </c>
      <c r="H70" s="92">
        <v>45.17</v>
      </c>
      <c r="I70" s="92">
        <v>33</v>
      </c>
      <c r="J70" s="92">
        <v>44.07</v>
      </c>
      <c r="K70" s="92">
        <v>33</v>
      </c>
      <c r="L70" s="92">
        <v>44.08</v>
      </c>
      <c r="M70" s="92">
        <v>33</v>
      </c>
      <c r="N70" s="92">
        <v>44.07</v>
      </c>
      <c r="O70" s="92">
        <v>33</v>
      </c>
      <c r="P70" s="92">
        <v>66.47</v>
      </c>
      <c r="Q70" s="92">
        <v>33</v>
      </c>
      <c r="R70" s="92">
        <v>44.07</v>
      </c>
      <c r="S70" s="92">
        <v>33</v>
      </c>
      <c r="T70" s="92">
        <v>43.78</v>
      </c>
      <c r="U70" s="92">
        <v>33</v>
      </c>
      <c r="V70" s="92">
        <v>44.25</v>
      </c>
      <c r="W70" s="92">
        <v>33</v>
      </c>
      <c r="X70" s="92">
        <v>44.07</v>
      </c>
      <c r="Y70" s="92">
        <v>33</v>
      </c>
      <c r="Z70" s="92">
        <v>44.07</v>
      </c>
      <c r="AA70" s="92">
        <v>33</v>
      </c>
      <c r="AB70" s="92">
        <v>44.07</v>
      </c>
    </row>
    <row r="71" spans="1:28">
      <c r="A71" s="92">
        <v>32</v>
      </c>
      <c r="B71" s="92">
        <v>43.78</v>
      </c>
      <c r="C71" s="92">
        <v>32</v>
      </c>
      <c r="D71" s="169">
        <v>43.78</v>
      </c>
      <c r="E71" s="92">
        <v>32</v>
      </c>
      <c r="F71" s="92">
        <v>43.78</v>
      </c>
      <c r="G71" s="92">
        <v>32</v>
      </c>
      <c r="H71" s="92">
        <v>44.88</v>
      </c>
      <c r="I71" s="92">
        <v>32</v>
      </c>
      <c r="J71" s="92">
        <v>43.78</v>
      </c>
      <c r="K71" s="92">
        <v>32</v>
      </c>
      <c r="L71" s="92">
        <v>43.79</v>
      </c>
      <c r="M71" s="92">
        <v>32</v>
      </c>
      <c r="N71" s="92">
        <v>43.78</v>
      </c>
      <c r="O71" s="92">
        <v>32</v>
      </c>
      <c r="P71" s="92">
        <v>66.03</v>
      </c>
      <c r="Q71" s="92">
        <v>32</v>
      </c>
      <c r="R71" s="92">
        <v>43.78</v>
      </c>
      <c r="S71" s="92">
        <v>32</v>
      </c>
      <c r="T71" s="92">
        <v>43.48</v>
      </c>
      <c r="U71" s="92">
        <v>32</v>
      </c>
      <c r="V71" s="92">
        <v>44</v>
      </c>
      <c r="W71" s="92">
        <v>32</v>
      </c>
      <c r="X71" s="92">
        <v>43.78</v>
      </c>
      <c r="Y71" s="92">
        <v>32</v>
      </c>
      <c r="Z71" s="92">
        <v>43.78</v>
      </c>
      <c r="AA71" s="92">
        <v>32</v>
      </c>
      <c r="AB71" s="92">
        <v>43.78</v>
      </c>
    </row>
    <row r="72" spans="1:28">
      <c r="A72" s="92">
        <v>31</v>
      </c>
      <c r="B72" s="92">
        <v>43.49</v>
      </c>
      <c r="C72" s="92">
        <v>31</v>
      </c>
      <c r="D72" s="169">
        <v>43.48</v>
      </c>
      <c r="E72" s="92">
        <v>31</v>
      </c>
      <c r="F72" s="92">
        <v>43.49</v>
      </c>
      <c r="G72" s="92">
        <v>31</v>
      </c>
      <c r="H72" s="92">
        <v>44.59</v>
      </c>
      <c r="I72" s="92">
        <v>31</v>
      </c>
      <c r="J72" s="92">
        <v>43.49</v>
      </c>
      <c r="K72" s="92">
        <v>31</v>
      </c>
      <c r="L72" s="92">
        <v>43.49</v>
      </c>
      <c r="M72" s="92">
        <v>31</v>
      </c>
      <c r="N72" s="92">
        <v>43.48</v>
      </c>
      <c r="O72" s="92">
        <v>31</v>
      </c>
      <c r="P72" s="92">
        <v>65.58</v>
      </c>
      <c r="Q72" s="92">
        <v>31</v>
      </c>
      <c r="R72" s="92">
        <v>43.49</v>
      </c>
      <c r="S72" s="92">
        <v>31</v>
      </c>
      <c r="T72" s="92">
        <v>43.16</v>
      </c>
      <c r="U72" s="92">
        <v>31</v>
      </c>
      <c r="V72" s="92">
        <v>43.63</v>
      </c>
      <c r="W72" s="92">
        <v>31</v>
      </c>
      <c r="X72" s="92">
        <v>43.49</v>
      </c>
      <c r="Y72" s="92">
        <v>31</v>
      </c>
      <c r="Z72" s="92">
        <v>43.48</v>
      </c>
      <c r="AA72" s="92">
        <v>31</v>
      </c>
      <c r="AB72" s="92">
        <v>43.49</v>
      </c>
    </row>
    <row r="73" spans="1:28">
      <c r="A73" s="92">
        <v>30</v>
      </c>
      <c r="B73" s="92">
        <v>43.17</v>
      </c>
      <c r="C73" s="92">
        <v>30</v>
      </c>
      <c r="D73" s="169">
        <v>43.16</v>
      </c>
      <c r="E73" s="92">
        <v>30</v>
      </c>
      <c r="F73" s="92">
        <v>43.17</v>
      </c>
      <c r="G73" s="92">
        <v>30</v>
      </c>
      <c r="H73" s="92">
        <v>44.27</v>
      </c>
      <c r="I73" s="92">
        <v>30</v>
      </c>
      <c r="J73" s="92">
        <v>43.17</v>
      </c>
      <c r="K73" s="92">
        <v>30</v>
      </c>
      <c r="L73" s="92">
        <v>43.15</v>
      </c>
      <c r="M73" s="92">
        <v>30</v>
      </c>
      <c r="N73" s="92">
        <v>43.16</v>
      </c>
      <c r="O73" s="92">
        <v>30</v>
      </c>
      <c r="P73" s="92">
        <v>65.09</v>
      </c>
      <c r="Q73" s="92">
        <v>30</v>
      </c>
      <c r="R73" s="92">
        <v>43.17</v>
      </c>
      <c r="S73" s="92">
        <v>30</v>
      </c>
      <c r="T73" s="92">
        <v>42.81</v>
      </c>
      <c r="U73" s="92">
        <v>30</v>
      </c>
      <c r="V73" s="92">
        <v>43.38</v>
      </c>
      <c r="W73" s="92">
        <v>30</v>
      </c>
      <c r="X73" s="92">
        <v>43.17</v>
      </c>
      <c r="Y73" s="92">
        <v>30</v>
      </c>
      <c r="Z73" s="92">
        <v>43.16</v>
      </c>
      <c r="AA73" s="92">
        <v>30</v>
      </c>
      <c r="AB73" s="92">
        <v>43.17</v>
      </c>
    </row>
    <row r="74" spans="1:28">
      <c r="A74" s="92">
        <v>29</v>
      </c>
      <c r="B74" s="92">
        <v>42.81</v>
      </c>
      <c r="C74" s="92">
        <v>29</v>
      </c>
      <c r="D74" s="169">
        <v>42.81</v>
      </c>
      <c r="E74" s="92">
        <v>29</v>
      </c>
      <c r="F74" s="92">
        <v>42.81</v>
      </c>
      <c r="G74" s="92">
        <v>29</v>
      </c>
      <c r="H74" s="92">
        <v>43.91</v>
      </c>
      <c r="I74" s="92">
        <v>29</v>
      </c>
      <c r="J74" s="92">
        <v>42.81</v>
      </c>
      <c r="K74" s="92">
        <v>29</v>
      </c>
      <c r="L74" s="92">
        <v>42.81</v>
      </c>
      <c r="M74" s="92">
        <v>29</v>
      </c>
      <c r="N74" s="92">
        <v>42.81</v>
      </c>
      <c r="O74" s="92">
        <v>29</v>
      </c>
      <c r="P74" s="92">
        <v>64.569999999999993</v>
      </c>
      <c r="Q74" s="92">
        <v>29</v>
      </c>
      <c r="R74" s="92">
        <v>42.81</v>
      </c>
      <c r="S74" s="92">
        <v>29</v>
      </c>
      <c r="T74" s="92">
        <v>42.46</v>
      </c>
      <c r="U74" s="92">
        <v>29</v>
      </c>
      <c r="V74" s="92">
        <v>43</v>
      </c>
      <c r="W74" s="92">
        <v>29</v>
      </c>
      <c r="X74" s="92">
        <v>42.81</v>
      </c>
      <c r="Y74" s="92">
        <v>29</v>
      </c>
      <c r="Z74" s="92">
        <v>42.81</v>
      </c>
      <c r="AA74" s="92">
        <v>29</v>
      </c>
      <c r="AB74" s="92">
        <v>42.81</v>
      </c>
    </row>
    <row r="75" spans="1:28">
      <c r="A75" s="92">
        <v>28</v>
      </c>
      <c r="B75" s="92">
        <v>42.47</v>
      </c>
      <c r="C75" s="92">
        <v>28</v>
      </c>
      <c r="D75" s="169">
        <v>42.46</v>
      </c>
      <c r="E75" s="92">
        <v>28</v>
      </c>
      <c r="F75" s="92">
        <v>42.47</v>
      </c>
      <c r="G75" s="92">
        <v>28</v>
      </c>
      <c r="H75" s="92">
        <v>43.57</v>
      </c>
      <c r="I75" s="92">
        <v>28</v>
      </c>
      <c r="J75" s="92">
        <v>42.47</v>
      </c>
      <c r="K75" s="92">
        <v>28</v>
      </c>
      <c r="L75" s="92">
        <v>42.49</v>
      </c>
      <c r="M75" s="92">
        <v>28</v>
      </c>
      <c r="N75" s="92">
        <v>42.46</v>
      </c>
      <c r="O75" s="92">
        <v>28</v>
      </c>
      <c r="P75" s="92">
        <v>64.040000000000006</v>
      </c>
      <c r="Q75" s="92">
        <v>28</v>
      </c>
      <c r="R75" s="92">
        <v>42.47</v>
      </c>
      <c r="S75" s="92">
        <v>28</v>
      </c>
      <c r="T75" s="92">
        <v>42.11</v>
      </c>
      <c r="U75" s="92">
        <v>28</v>
      </c>
      <c r="V75" s="92">
        <v>42.75</v>
      </c>
      <c r="W75" s="92">
        <v>28</v>
      </c>
      <c r="X75" s="92">
        <v>42.47</v>
      </c>
      <c r="Y75" s="92">
        <v>28</v>
      </c>
      <c r="Z75" s="92">
        <v>42.46</v>
      </c>
      <c r="AA75" s="92">
        <v>28</v>
      </c>
      <c r="AB75" s="92">
        <v>42.47</v>
      </c>
    </row>
    <row r="76" spans="1:28">
      <c r="A76" s="92">
        <v>27</v>
      </c>
      <c r="B76" s="92">
        <v>42.11</v>
      </c>
      <c r="C76" s="92">
        <v>27</v>
      </c>
      <c r="D76" s="169">
        <v>42.11</v>
      </c>
      <c r="E76" s="92">
        <v>27</v>
      </c>
      <c r="F76" s="92">
        <v>42.11</v>
      </c>
      <c r="G76" s="92">
        <v>27</v>
      </c>
      <c r="H76" s="92">
        <v>43.21</v>
      </c>
      <c r="I76" s="92">
        <v>27</v>
      </c>
      <c r="J76" s="92">
        <v>42.11</v>
      </c>
      <c r="K76" s="92">
        <v>27</v>
      </c>
      <c r="L76" s="92">
        <v>42.1</v>
      </c>
      <c r="M76" s="92">
        <v>27</v>
      </c>
      <c r="N76" s="92">
        <v>42.11</v>
      </c>
      <c r="O76" s="92">
        <v>27</v>
      </c>
      <c r="P76" s="92">
        <v>63.51</v>
      </c>
      <c r="Q76" s="92">
        <v>27</v>
      </c>
      <c r="R76" s="92">
        <v>42.11</v>
      </c>
      <c r="S76" s="92">
        <v>27</v>
      </c>
      <c r="T76" s="92">
        <v>41.76</v>
      </c>
      <c r="U76" s="92">
        <v>27</v>
      </c>
      <c r="V76" s="92">
        <v>42.5</v>
      </c>
      <c r="W76" s="92">
        <v>27</v>
      </c>
      <c r="X76" s="92">
        <v>42.11</v>
      </c>
      <c r="Y76" s="92">
        <v>27</v>
      </c>
      <c r="Z76" s="92">
        <v>42.11</v>
      </c>
      <c r="AA76" s="92">
        <v>27</v>
      </c>
      <c r="AB76" s="92">
        <v>42.11</v>
      </c>
    </row>
    <row r="77" spans="1:28">
      <c r="A77" s="92">
        <v>26</v>
      </c>
      <c r="B77" s="92">
        <v>41.76</v>
      </c>
      <c r="C77" s="92">
        <v>26</v>
      </c>
      <c r="D77" s="169">
        <v>41.76</v>
      </c>
      <c r="E77" s="92">
        <v>26</v>
      </c>
      <c r="F77" s="92">
        <v>41.76</v>
      </c>
      <c r="G77" s="92">
        <v>26</v>
      </c>
      <c r="H77" s="92">
        <v>42.86</v>
      </c>
      <c r="I77" s="92">
        <v>26</v>
      </c>
      <c r="J77" s="92">
        <v>41.76</v>
      </c>
      <c r="K77" s="92">
        <v>26</v>
      </c>
      <c r="L77" s="92">
        <v>41.75</v>
      </c>
      <c r="M77" s="92">
        <v>26</v>
      </c>
      <c r="N77" s="92">
        <v>41.76</v>
      </c>
      <c r="O77" s="92">
        <v>26</v>
      </c>
      <c r="P77" s="92">
        <v>62.98</v>
      </c>
      <c r="Q77" s="92">
        <v>26</v>
      </c>
      <c r="R77" s="92">
        <v>41.76</v>
      </c>
      <c r="S77" s="92">
        <v>26</v>
      </c>
      <c r="T77" s="92">
        <v>41.41</v>
      </c>
      <c r="U77" s="92">
        <v>26</v>
      </c>
      <c r="V77" s="92">
        <v>41.75</v>
      </c>
      <c r="W77" s="92">
        <v>26</v>
      </c>
      <c r="X77" s="92">
        <v>41.76</v>
      </c>
      <c r="Y77" s="92">
        <v>26</v>
      </c>
      <c r="Z77" s="92">
        <v>41.76</v>
      </c>
      <c r="AA77" s="92">
        <v>26</v>
      </c>
      <c r="AB77" s="92">
        <v>41.76</v>
      </c>
    </row>
    <row r="78" spans="1:28">
      <c r="A78" s="92">
        <v>25</v>
      </c>
      <c r="B78" s="92">
        <v>41.42</v>
      </c>
      <c r="C78" s="92">
        <v>25</v>
      </c>
      <c r="D78" s="169">
        <v>41.41</v>
      </c>
      <c r="E78" s="92">
        <v>25</v>
      </c>
      <c r="F78" s="92">
        <v>41.42</v>
      </c>
      <c r="G78" s="92">
        <v>25</v>
      </c>
      <c r="H78" s="92">
        <v>42.51</v>
      </c>
      <c r="I78" s="92">
        <v>25</v>
      </c>
      <c r="J78" s="92">
        <v>41.42</v>
      </c>
      <c r="K78" s="92">
        <v>25</v>
      </c>
      <c r="L78" s="92">
        <v>41.44</v>
      </c>
      <c r="M78" s="92">
        <v>25</v>
      </c>
      <c r="N78" s="92">
        <v>41.41</v>
      </c>
      <c r="O78" s="92">
        <v>25</v>
      </c>
      <c r="P78" s="92">
        <v>62.45</v>
      </c>
      <c r="Q78" s="92">
        <v>25</v>
      </c>
      <c r="R78" s="92">
        <v>41.42</v>
      </c>
      <c r="S78" s="92">
        <v>25</v>
      </c>
      <c r="T78" s="92">
        <v>40.79</v>
      </c>
      <c r="U78" s="92">
        <v>25</v>
      </c>
      <c r="V78" s="92">
        <v>41.63</v>
      </c>
      <c r="W78" s="92">
        <v>25</v>
      </c>
      <c r="X78" s="92">
        <v>41.42</v>
      </c>
      <c r="Y78" s="92">
        <v>25</v>
      </c>
      <c r="Z78" s="92">
        <v>41.41</v>
      </c>
      <c r="AA78" s="92">
        <v>25</v>
      </c>
      <c r="AB78" s="92">
        <v>41.42</v>
      </c>
    </row>
    <row r="79" spans="1:28">
      <c r="A79" s="92">
        <v>24</v>
      </c>
      <c r="B79" s="92">
        <v>41.1</v>
      </c>
      <c r="C79" s="92">
        <v>24</v>
      </c>
      <c r="D79" s="169">
        <v>41.1</v>
      </c>
      <c r="E79" s="92">
        <v>24</v>
      </c>
      <c r="F79" s="92">
        <v>41.1</v>
      </c>
      <c r="G79" s="92">
        <v>24</v>
      </c>
      <c r="H79" s="92">
        <v>42.2</v>
      </c>
      <c r="I79" s="92">
        <v>24</v>
      </c>
      <c r="J79" s="92">
        <v>41.1</v>
      </c>
      <c r="K79" s="92">
        <v>24</v>
      </c>
      <c r="L79" s="92">
        <v>41.1</v>
      </c>
      <c r="M79" s="92">
        <v>24</v>
      </c>
      <c r="N79" s="92">
        <v>41.1</v>
      </c>
      <c r="O79" s="92">
        <v>24</v>
      </c>
      <c r="P79" s="92">
        <v>61.99</v>
      </c>
      <c r="Q79" s="92">
        <v>24</v>
      </c>
      <c r="R79" s="92">
        <v>41.1</v>
      </c>
      <c r="S79" s="92">
        <v>24</v>
      </c>
      <c r="T79" s="92">
        <v>40.47</v>
      </c>
      <c r="U79" s="92">
        <v>24</v>
      </c>
      <c r="V79" s="92">
        <v>41.25</v>
      </c>
      <c r="W79" s="92">
        <v>24</v>
      </c>
      <c r="X79" s="92">
        <v>41.1</v>
      </c>
      <c r="Y79" s="92">
        <v>24</v>
      </c>
      <c r="Z79" s="92">
        <v>41.1</v>
      </c>
      <c r="AA79" s="92">
        <v>24</v>
      </c>
      <c r="AB79" s="92">
        <v>41.1</v>
      </c>
    </row>
    <row r="80" spans="1:28">
      <c r="A80" s="92">
        <v>23</v>
      </c>
      <c r="B80" s="92">
        <v>40.79</v>
      </c>
      <c r="C80" s="92">
        <v>23</v>
      </c>
      <c r="D80" s="169">
        <v>40.79</v>
      </c>
      <c r="E80" s="92">
        <v>23</v>
      </c>
      <c r="F80" s="92">
        <v>40.79</v>
      </c>
      <c r="G80" s="92">
        <v>23</v>
      </c>
      <c r="H80" s="92">
        <v>41.89</v>
      </c>
      <c r="I80" s="92">
        <v>23</v>
      </c>
      <c r="J80" s="92">
        <v>40.79</v>
      </c>
      <c r="K80" s="92">
        <v>23</v>
      </c>
      <c r="L80" s="92">
        <v>40.79</v>
      </c>
      <c r="M80" s="92">
        <v>23</v>
      </c>
      <c r="N80" s="92">
        <v>40.79</v>
      </c>
      <c r="O80" s="92">
        <v>23</v>
      </c>
      <c r="P80" s="92">
        <v>61.52</v>
      </c>
      <c r="Q80" s="92">
        <v>23</v>
      </c>
      <c r="R80" s="92">
        <v>40.79</v>
      </c>
      <c r="S80" s="92">
        <v>23</v>
      </c>
      <c r="T80" s="92">
        <v>40.14</v>
      </c>
      <c r="U80" s="92">
        <v>23</v>
      </c>
      <c r="V80" s="92">
        <v>41</v>
      </c>
      <c r="W80" s="92">
        <v>23</v>
      </c>
      <c r="X80" s="92">
        <v>40.79</v>
      </c>
      <c r="Y80" s="92">
        <v>23</v>
      </c>
      <c r="Z80" s="92">
        <v>40.79</v>
      </c>
      <c r="AA80" s="92">
        <v>23</v>
      </c>
      <c r="AB80" s="92">
        <v>40.79</v>
      </c>
    </row>
    <row r="81" spans="1:28">
      <c r="A81" s="92">
        <v>22</v>
      </c>
      <c r="B81" s="92">
        <v>40.479999999999997</v>
      </c>
      <c r="C81" s="92">
        <v>22</v>
      </c>
      <c r="D81" s="169">
        <v>40.47</v>
      </c>
      <c r="E81" s="92">
        <v>22</v>
      </c>
      <c r="F81" s="92">
        <v>40.479999999999997</v>
      </c>
      <c r="G81" s="92">
        <v>22</v>
      </c>
      <c r="H81" s="92">
        <v>41.58</v>
      </c>
      <c r="I81" s="92">
        <v>22</v>
      </c>
      <c r="J81" s="92">
        <v>40.479999999999997</v>
      </c>
      <c r="K81" s="92">
        <v>22</v>
      </c>
      <c r="L81" s="92">
        <v>40.49</v>
      </c>
      <c r="M81" s="92">
        <v>22</v>
      </c>
      <c r="N81" s="92">
        <v>40.47</v>
      </c>
      <c r="O81" s="92">
        <v>22</v>
      </c>
      <c r="P81" s="92">
        <v>61.04</v>
      </c>
      <c r="Q81" s="92">
        <v>22</v>
      </c>
      <c r="R81" s="92">
        <v>40.479999999999997</v>
      </c>
      <c r="S81" s="92">
        <v>22</v>
      </c>
      <c r="T81" s="92">
        <v>39.799999999999997</v>
      </c>
      <c r="U81" s="92">
        <v>22</v>
      </c>
      <c r="V81" s="92">
        <v>40.75</v>
      </c>
      <c r="W81" s="92">
        <v>22</v>
      </c>
      <c r="X81" s="92">
        <v>40.479999999999997</v>
      </c>
      <c r="Y81" s="92">
        <v>22</v>
      </c>
      <c r="Z81" s="92">
        <v>40.47</v>
      </c>
      <c r="AA81" s="92">
        <v>22</v>
      </c>
      <c r="AB81" s="92">
        <v>40.479999999999997</v>
      </c>
    </row>
    <row r="82" spans="1:28">
      <c r="A82" s="92">
        <v>21</v>
      </c>
      <c r="B82" s="92">
        <v>40.14</v>
      </c>
      <c r="C82" s="92">
        <v>21</v>
      </c>
      <c r="D82" s="169">
        <v>40.14</v>
      </c>
      <c r="E82" s="92">
        <v>21</v>
      </c>
      <c r="F82" s="92">
        <v>40.15</v>
      </c>
      <c r="G82" s="92">
        <v>21</v>
      </c>
      <c r="H82" s="92">
        <v>41.24</v>
      </c>
      <c r="I82" s="92">
        <v>21</v>
      </c>
      <c r="J82" s="92">
        <v>40.15</v>
      </c>
      <c r="K82" s="92">
        <v>21</v>
      </c>
      <c r="L82" s="92">
        <v>40.130000000000003</v>
      </c>
      <c r="M82" s="92">
        <v>21</v>
      </c>
      <c r="N82" s="92">
        <v>40.14</v>
      </c>
      <c r="O82" s="92">
        <v>21</v>
      </c>
      <c r="P82" s="92">
        <v>60.54</v>
      </c>
      <c r="Q82" s="92">
        <v>21</v>
      </c>
      <c r="R82" s="92">
        <v>40.14</v>
      </c>
      <c r="S82" s="92">
        <v>21</v>
      </c>
      <c r="T82" s="92">
        <v>39.090000000000003</v>
      </c>
      <c r="U82" s="92">
        <v>21</v>
      </c>
      <c r="V82" s="92">
        <v>40.130000000000003</v>
      </c>
      <c r="W82" s="92">
        <v>21</v>
      </c>
      <c r="X82" s="92">
        <v>40.15</v>
      </c>
      <c r="Y82" s="92">
        <v>21</v>
      </c>
      <c r="Z82" s="92">
        <v>40.14</v>
      </c>
      <c r="AA82" s="92">
        <v>21</v>
      </c>
      <c r="AB82" s="92">
        <v>40.14</v>
      </c>
    </row>
    <row r="83" spans="1:28">
      <c r="A83" s="92">
        <v>20</v>
      </c>
      <c r="B83" s="92">
        <v>39.81</v>
      </c>
      <c r="C83" s="92">
        <v>20</v>
      </c>
      <c r="D83" s="169">
        <v>39.799999999999997</v>
      </c>
      <c r="E83" s="92">
        <v>20</v>
      </c>
      <c r="F83" s="92">
        <v>39.81</v>
      </c>
      <c r="G83" s="92">
        <v>20</v>
      </c>
      <c r="H83" s="92">
        <v>40.909999999999997</v>
      </c>
      <c r="I83" s="92">
        <v>20</v>
      </c>
      <c r="J83" s="92">
        <v>39.81</v>
      </c>
      <c r="K83" s="92">
        <v>20</v>
      </c>
      <c r="L83" s="92">
        <v>39.81</v>
      </c>
      <c r="M83" s="92">
        <v>20</v>
      </c>
      <c r="N83" s="92">
        <v>39.799999999999997</v>
      </c>
      <c r="O83" s="92">
        <v>20</v>
      </c>
      <c r="P83" s="92">
        <v>60.03</v>
      </c>
      <c r="Q83" s="92">
        <v>20</v>
      </c>
      <c r="R83" s="92">
        <v>39.81</v>
      </c>
      <c r="S83" s="92">
        <v>20</v>
      </c>
      <c r="T83" s="92">
        <v>38.78</v>
      </c>
      <c r="U83" s="92">
        <v>20</v>
      </c>
      <c r="V83" s="92">
        <v>39.880000000000003</v>
      </c>
      <c r="W83" s="92">
        <v>20</v>
      </c>
      <c r="X83" s="92">
        <v>39.81</v>
      </c>
      <c r="Y83" s="92">
        <v>20</v>
      </c>
      <c r="Z83" s="92">
        <v>39.799999999999997</v>
      </c>
      <c r="AA83" s="92">
        <v>20</v>
      </c>
      <c r="AB83" s="92">
        <v>39.81</v>
      </c>
    </row>
    <row r="84" spans="1:28">
      <c r="A84" s="92">
        <v>19</v>
      </c>
      <c r="B84" s="92">
        <v>39.450000000000003</v>
      </c>
      <c r="C84" s="92">
        <v>19</v>
      </c>
      <c r="D84" s="169">
        <v>39.450000000000003</v>
      </c>
      <c r="E84" s="92">
        <v>19</v>
      </c>
      <c r="F84" s="92">
        <v>39.450000000000003</v>
      </c>
      <c r="G84" s="92">
        <v>19</v>
      </c>
      <c r="H84" s="92">
        <v>40.549999999999997</v>
      </c>
      <c r="I84" s="92">
        <v>19</v>
      </c>
      <c r="J84" s="92">
        <v>39.43</v>
      </c>
      <c r="K84" s="92">
        <v>19</v>
      </c>
      <c r="L84" s="92">
        <v>39.46</v>
      </c>
      <c r="M84" s="92">
        <v>19</v>
      </c>
      <c r="N84" s="92">
        <v>39.450000000000003</v>
      </c>
      <c r="O84" s="92">
        <v>19</v>
      </c>
      <c r="P84" s="92">
        <v>59.49</v>
      </c>
      <c r="Q84" s="92">
        <v>19</v>
      </c>
      <c r="R84" s="92">
        <v>39.450000000000003</v>
      </c>
      <c r="S84" s="92">
        <v>19</v>
      </c>
      <c r="T84" s="92">
        <v>38.47</v>
      </c>
      <c r="U84" s="92">
        <v>19</v>
      </c>
      <c r="V84" s="92">
        <v>39.880000000000003</v>
      </c>
      <c r="W84" s="92">
        <v>19</v>
      </c>
      <c r="X84" s="92">
        <v>39.450000000000003</v>
      </c>
      <c r="Y84" s="92">
        <v>19</v>
      </c>
      <c r="Z84" s="92">
        <v>39.450000000000003</v>
      </c>
      <c r="AA84" s="92">
        <v>19</v>
      </c>
      <c r="AB84" s="92">
        <v>39.450000000000003</v>
      </c>
    </row>
    <row r="85" spans="1:28">
      <c r="A85" s="92">
        <v>18</v>
      </c>
      <c r="B85" s="92">
        <v>39.090000000000003</v>
      </c>
      <c r="C85" s="92">
        <v>18</v>
      </c>
      <c r="D85" s="169">
        <v>39.090000000000003</v>
      </c>
      <c r="E85" s="92">
        <v>18</v>
      </c>
      <c r="F85" s="92">
        <v>39.090000000000003</v>
      </c>
      <c r="G85" s="92">
        <v>18</v>
      </c>
      <c r="H85" s="92">
        <v>40.19</v>
      </c>
      <c r="I85" s="92">
        <v>18</v>
      </c>
      <c r="J85" s="92">
        <v>39.049999999999997</v>
      </c>
      <c r="K85" s="92">
        <v>18</v>
      </c>
      <c r="L85" s="92">
        <v>39.08</v>
      </c>
      <c r="M85" s="92">
        <v>18</v>
      </c>
      <c r="N85" s="92">
        <v>39.090000000000003</v>
      </c>
      <c r="O85" s="92">
        <v>18</v>
      </c>
      <c r="P85" s="92">
        <v>58.96</v>
      </c>
      <c r="Q85" s="92">
        <v>18</v>
      </c>
      <c r="R85" s="92">
        <v>39.090000000000003</v>
      </c>
      <c r="S85" s="92">
        <v>18</v>
      </c>
      <c r="T85" s="92">
        <v>38.14</v>
      </c>
      <c r="U85" s="92">
        <v>18</v>
      </c>
      <c r="V85" s="92">
        <v>39.130000000000003</v>
      </c>
      <c r="W85" s="92">
        <v>18</v>
      </c>
      <c r="X85" s="92">
        <v>39.090000000000003</v>
      </c>
      <c r="Y85" s="92">
        <v>18</v>
      </c>
      <c r="Z85" s="92">
        <v>39.090000000000003</v>
      </c>
      <c r="AA85" s="92">
        <v>18</v>
      </c>
      <c r="AB85" s="92">
        <v>39.090000000000003</v>
      </c>
    </row>
    <row r="86" spans="1:28">
      <c r="A86" s="92">
        <v>17</v>
      </c>
      <c r="B86" s="92">
        <v>38.79</v>
      </c>
      <c r="C86" s="92">
        <v>17</v>
      </c>
      <c r="D86" s="169">
        <v>38.78</v>
      </c>
      <c r="E86" s="92">
        <v>17</v>
      </c>
      <c r="F86" s="92">
        <v>38.79</v>
      </c>
      <c r="G86" s="92">
        <v>17</v>
      </c>
      <c r="H86" s="92">
        <v>39.880000000000003</v>
      </c>
      <c r="I86" s="92">
        <v>17</v>
      </c>
      <c r="J86" s="92">
        <v>38.75</v>
      </c>
      <c r="K86" s="92">
        <v>17</v>
      </c>
      <c r="L86" s="92">
        <v>38.799999999999997</v>
      </c>
      <c r="M86" s="92">
        <v>17</v>
      </c>
      <c r="N86" s="92">
        <v>38.78</v>
      </c>
      <c r="O86" s="92">
        <v>17</v>
      </c>
      <c r="P86" s="92">
        <v>58.49</v>
      </c>
      <c r="Q86" s="92">
        <v>17</v>
      </c>
      <c r="R86" s="92">
        <v>38.79</v>
      </c>
      <c r="S86" s="92">
        <v>17</v>
      </c>
      <c r="T86" s="92">
        <v>37.840000000000003</v>
      </c>
      <c r="U86" s="92">
        <v>17</v>
      </c>
      <c r="V86" s="92">
        <v>38.880000000000003</v>
      </c>
      <c r="W86" s="92">
        <v>17</v>
      </c>
      <c r="X86" s="92">
        <v>38.79</v>
      </c>
      <c r="Y86" s="92">
        <v>17</v>
      </c>
      <c r="Z86" s="92">
        <v>38.78</v>
      </c>
      <c r="AA86" s="92">
        <v>17</v>
      </c>
      <c r="AB86" s="92">
        <v>38.79</v>
      </c>
    </row>
    <row r="87" spans="1:28">
      <c r="A87" s="92">
        <v>16</v>
      </c>
      <c r="B87" s="92">
        <v>38.479999999999997</v>
      </c>
      <c r="C87" s="92">
        <v>16</v>
      </c>
      <c r="D87" s="169">
        <v>38.47</v>
      </c>
      <c r="E87" s="92">
        <v>16</v>
      </c>
      <c r="F87" s="92">
        <v>38.479999999999997</v>
      </c>
      <c r="G87" s="92">
        <v>16</v>
      </c>
      <c r="H87" s="92">
        <v>39.57</v>
      </c>
      <c r="I87" s="92">
        <v>16</v>
      </c>
      <c r="J87" s="92">
        <v>38.450000000000003</v>
      </c>
      <c r="K87" s="92">
        <v>16</v>
      </c>
      <c r="L87" s="92">
        <v>38.479999999999997</v>
      </c>
      <c r="M87" s="92">
        <v>16</v>
      </c>
      <c r="N87" s="92">
        <v>38.47</v>
      </c>
      <c r="O87" s="92">
        <v>16</v>
      </c>
      <c r="P87" s="92">
        <v>58.02</v>
      </c>
      <c r="Q87" s="92">
        <v>16</v>
      </c>
      <c r="R87" s="92">
        <v>38.479999999999997</v>
      </c>
      <c r="S87" s="92">
        <v>16</v>
      </c>
      <c r="T87" s="92">
        <v>37.520000000000003</v>
      </c>
      <c r="U87" s="92">
        <v>16</v>
      </c>
      <c r="V87" s="92">
        <v>38.880000000000003</v>
      </c>
      <c r="W87" s="92">
        <v>16</v>
      </c>
      <c r="X87" s="92">
        <v>38.479999999999997</v>
      </c>
      <c r="Y87" s="92">
        <v>16</v>
      </c>
      <c r="Z87" s="92">
        <v>38.47</v>
      </c>
      <c r="AA87" s="92">
        <v>16</v>
      </c>
      <c r="AB87" s="92">
        <v>38.479999999999997</v>
      </c>
    </row>
    <row r="88" spans="1:28">
      <c r="A88" s="92">
        <v>15</v>
      </c>
      <c r="B88" s="92">
        <v>38.15</v>
      </c>
      <c r="C88" s="92">
        <v>15</v>
      </c>
      <c r="D88" s="169">
        <v>38.14</v>
      </c>
      <c r="E88" s="92">
        <v>15</v>
      </c>
      <c r="F88" s="92">
        <v>38.15</v>
      </c>
      <c r="G88" s="92">
        <v>15</v>
      </c>
      <c r="H88" s="92">
        <v>39.25</v>
      </c>
      <c r="I88" s="92">
        <v>15</v>
      </c>
      <c r="J88" s="92">
        <v>38.130000000000003</v>
      </c>
      <c r="K88" s="92">
        <v>15</v>
      </c>
      <c r="L88" s="92">
        <v>38.14</v>
      </c>
      <c r="M88" s="92">
        <v>15</v>
      </c>
      <c r="N88" s="92">
        <v>38.14</v>
      </c>
      <c r="O88" s="92">
        <v>15</v>
      </c>
      <c r="P88" s="92">
        <v>57.52</v>
      </c>
      <c r="Q88" s="92">
        <v>15</v>
      </c>
      <c r="R88" s="92">
        <v>38.15</v>
      </c>
      <c r="S88" s="92">
        <v>15</v>
      </c>
      <c r="T88" s="92">
        <v>37.18</v>
      </c>
      <c r="U88" s="92">
        <v>15</v>
      </c>
      <c r="V88" s="92">
        <v>38.25</v>
      </c>
      <c r="W88" s="92">
        <v>15</v>
      </c>
      <c r="X88" s="92">
        <v>38.15</v>
      </c>
      <c r="Y88" s="92">
        <v>15</v>
      </c>
      <c r="Z88" s="92">
        <v>38.14</v>
      </c>
      <c r="AA88" s="92">
        <v>15</v>
      </c>
      <c r="AB88" s="92">
        <v>38.15</v>
      </c>
    </row>
    <row r="89" spans="1:28">
      <c r="A89" s="92">
        <v>14</v>
      </c>
      <c r="B89" s="92">
        <v>37.840000000000003</v>
      </c>
      <c r="C89" s="92">
        <v>14</v>
      </c>
      <c r="D89" s="169">
        <v>37.840000000000003</v>
      </c>
      <c r="E89" s="92">
        <v>14</v>
      </c>
      <c r="F89" s="92">
        <v>37.840000000000003</v>
      </c>
      <c r="G89" s="92">
        <v>14</v>
      </c>
      <c r="H89" s="92">
        <v>38.94</v>
      </c>
      <c r="I89" s="92">
        <v>14</v>
      </c>
      <c r="J89" s="92">
        <v>37.799999999999997</v>
      </c>
      <c r="K89" s="92">
        <v>14</v>
      </c>
      <c r="L89" s="92">
        <v>37.85</v>
      </c>
      <c r="M89" s="92">
        <v>14</v>
      </c>
      <c r="N89" s="92">
        <v>37.840000000000003</v>
      </c>
      <c r="O89" s="92">
        <v>14</v>
      </c>
      <c r="P89" s="92">
        <v>57.07</v>
      </c>
      <c r="Q89" s="92">
        <v>14</v>
      </c>
      <c r="R89" s="92">
        <v>37.840000000000003</v>
      </c>
      <c r="S89" s="92">
        <v>14</v>
      </c>
      <c r="T89" s="92">
        <v>36.799999999999997</v>
      </c>
      <c r="U89" s="92">
        <v>14</v>
      </c>
      <c r="V89" s="92">
        <v>37.880000000000003</v>
      </c>
      <c r="W89" s="92">
        <v>14</v>
      </c>
      <c r="X89" s="92">
        <v>37.840000000000003</v>
      </c>
      <c r="Y89" s="92">
        <v>14</v>
      </c>
      <c r="Z89" s="92">
        <v>37.840000000000003</v>
      </c>
      <c r="AA89" s="92">
        <v>14</v>
      </c>
      <c r="AB89" s="92">
        <v>37.840000000000003</v>
      </c>
    </row>
    <row r="90" spans="1:28">
      <c r="A90" s="92">
        <v>13</v>
      </c>
      <c r="B90" s="92">
        <v>37.520000000000003</v>
      </c>
      <c r="C90" s="92">
        <v>13</v>
      </c>
      <c r="D90" s="169">
        <v>37.520000000000003</v>
      </c>
      <c r="E90" s="92">
        <v>13</v>
      </c>
      <c r="F90" s="92">
        <v>37.53</v>
      </c>
      <c r="G90" s="92">
        <v>13</v>
      </c>
      <c r="H90" s="92">
        <v>38.619999999999997</v>
      </c>
      <c r="I90" s="92">
        <v>13</v>
      </c>
      <c r="J90" s="92">
        <v>37.46</v>
      </c>
      <c r="K90" s="92">
        <v>13</v>
      </c>
      <c r="L90" s="92">
        <v>37.53</v>
      </c>
      <c r="M90" s="92">
        <v>13</v>
      </c>
      <c r="N90" s="92">
        <v>37.520000000000003</v>
      </c>
      <c r="O90" s="92">
        <v>13</v>
      </c>
      <c r="P90" s="92">
        <v>56.59</v>
      </c>
      <c r="Q90" s="92">
        <v>13</v>
      </c>
      <c r="R90" s="92">
        <v>37.520000000000003</v>
      </c>
      <c r="S90" s="92">
        <v>13</v>
      </c>
      <c r="T90" s="92">
        <v>36.43</v>
      </c>
      <c r="U90" s="92">
        <v>13</v>
      </c>
      <c r="V90" s="92">
        <v>37.630000000000003</v>
      </c>
      <c r="W90" s="92">
        <v>13</v>
      </c>
      <c r="X90" s="92">
        <v>37.53</v>
      </c>
      <c r="Y90" s="92">
        <v>13</v>
      </c>
      <c r="Z90" s="92">
        <v>37.520000000000003</v>
      </c>
      <c r="AA90" s="92">
        <v>13</v>
      </c>
      <c r="AB90" s="92">
        <v>37.520000000000003</v>
      </c>
    </row>
    <row r="91" spans="1:28">
      <c r="A91" s="92">
        <v>12</v>
      </c>
      <c r="B91" s="92">
        <v>37.19</v>
      </c>
      <c r="C91" s="92">
        <v>12</v>
      </c>
      <c r="D91" s="169">
        <v>37.18</v>
      </c>
      <c r="E91" s="92">
        <v>12</v>
      </c>
      <c r="F91" s="92">
        <v>37.19</v>
      </c>
      <c r="G91" s="92">
        <v>12</v>
      </c>
      <c r="H91" s="92">
        <v>38.29</v>
      </c>
      <c r="I91" s="92">
        <v>12</v>
      </c>
      <c r="J91" s="92">
        <v>37.11</v>
      </c>
      <c r="K91" s="92">
        <v>12</v>
      </c>
      <c r="L91" s="92">
        <v>37.19</v>
      </c>
      <c r="M91" s="92">
        <v>12</v>
      </c>
      <c r="N91" s="92">
        <v>37.18</v>
      </c>
      <c r="O91" s="92">
        <v>12</v>
      </c>
      <c r="P91" s="92">
        <v>56.07</v>
      </c>
      <c r="Q91" s="92">
        <v>12</v>
      </c>
      <c r="R91" s="92">
        <v>37.19</v>
      </c>
      <c r="S91" s="92">
        <v>12</v>
      </c>
      <c r="T91" s="92">
        <v>36.090000000000003</v>
      </c>
      <c r="U91" s="92">
        <v>12</v>
      </c>
      <c r="V91" s="92">
        <v>37.380000000000003</v>
      </c>
      <c r="W91" s="92">
        <v>12</v>
      </c>
      <c r="X91" s="92">
        <v>37.19</v>
      </c>
      <c r="Y91" s="92">
        <v>12</v>
      </c>
      <c r="Z91" s="92">
        <v>37.18</v>
      </c>
      <c r="AA91" s="92">
        <v>12</v>
      </c>
      <c r="AB91" s="92">
        <v>37.19</v>
      </c>
    </row>
    <row r="92" spans="1:28">
      <c r="A92" s="92">
        <v>11</v>
      </c>
      <c r="B92" s="92">
        <v>36.799999999999997</v>
      </c>
      <c r="C92" s="92">
        <v>11</v>
      </c>
      <c r="D92" s="169">
        <v>36.799999999999997</v>
      </c>
      <c r="E92" s="92">
        <v>11</v>
      </c>
      <c r="F92" s="92">
        <v>36.799999999999997</v>
      </c>
      <c r="G92" s="92">
        <v>11</v>
      </c>
      <c r="H92" s="92">
        <v>37.9</v>
      </c>
      <c r="I92" s="92">
        <v>11</v>
      </c>
      <c r="J92" s="92">
        <v>36.76</v>
      </c>
      <c r="K92" s="92">
        <v>11</v>
      </c>
      <c r="L92" s="92">
        <v>36.799999999999997</v>
      </c>
      <c r="M92" s="92">
        <v>11</v>
      </c>
      <c r="N92" s="92">
        <v>36.799999999999997</v>
      </c>
      <c r="O92" s="92">
        <v>11</v>
      </c>
      <c r="P92" s="92">
        <v>55.5</v>
      </c>
      <c r="Q92" s="92">
        <v>11</v>
      </c>
      <c r="R92" s="92">
        <v>36.799999999999997</v>
      </c>
      <c r="S92" s="92">
        <v>11</v>
      </c>
      <c r="T92" s="92">
        <v>35.75</v>
      </c>
      <c r="U92" s="92">
        <v>11</v>
      </c>
      <c r="V92" s="92">
        <v>37.25</v>
      </c>
      <c r="W92" s="92">
        <v>11</v>
      </c>
      <c r="X92" s="92">
        <v>36.799999999999997</v>
      </c>
      <c r="Y92" s="92">
        <v>11</v>
      </c>
      <c r="Z92" s="92">
        <v>36.799999999999997</v>
      </c>
      <c r="AA92" s="92">
        <v>11</v>
      </c>
      <c r="AB92" s="92">
        <v>36.799999999999997</v>
      </c>
    </row>
    <row r="93" spans="1:28">
      <c r="A93" s="92">
        <v>10</v>
      </c>
      <c r="B93" s="92">
        <v>36.44</v>
      </c>
      <c r="C93" s="92">
        <v>10</v>
      </c>
      <c r="D93" s="169">
        <v>36.43</v>
      </c>
      <c r="E93" s="92">
        <v>10</v>
      </c>
      <c r="F93" s="92">
        <v>36.44</v>
      </c>
      <c r="G93" s="92">
        <v>10</v>
      </c>
      <c r="H93" s="92">
        <v>37.54</v>
      </c>
      <c r="I93" s="92">
        <v>10</v>
      </c>
      <c r="J93" s="92">
        <v>36.43</v>
      </c>
      <c r="K93" s="92">
        <v>10</v>
      </c>
      <c r="L93" s="92">
        <v>36.44</v>
      </c>
      <c r="M93" s="92">
        <v>10</v>
      </c>
      <c r="N93" s="92">
        <v>36.43</v>
      </c>
      <c r="O93" s="92">
        <v>10</v>
      </c>
      <c r="P93" s="92">
        <v>54.94</v>
      </c>
      <c r="Q93" s="92">
        <v>10</v>
      </c>
      <c r="R93" s="92">
        <v>36.44</v>
      </c>
      <c r="S93" s="92">
        <v>10</v>
      </c>
      <c r="T93" s="92">
        <v>35.39</v>
      </c>
      <c r="U93" s="92">
        <v>10</v>
      </c>
      <c r="V93" s="92">
        <v>36.5</v>
      </c>
      <c r="W93" s="92">
        <v>10</v>
      </c>
      <c r="X93" s="92">
        <v>36.44</v>
      </c>
      <c r="Y93" s="92">
        <v>10</v>
      </c>
      <c r="Z93" s="92">
        <v>36.43</v>
      </c>
      <c r="AA93" s="92">
        <v>10</v>
      </c>
      <c r="AB93" s="92">
        <v>36.44</v>
      </c>
    </row>
    <row r="94" spans="1:28">
      <c r="A94" s="92">
        <v>9</v>
      </c>
      <c r="B94" s="92">
        <v>36.1</v>
      </c>
      <c r="C94" s="92">
        <v>9</v>
      </c>
      <c r="D94" s="169">
        <v>36.090000000000003</v>
      </c>
      <c r="E94" s="92">
        <v>9</v>
      </c>
      <c r="F94" s="92">
        <v>36.090000000000003</v>
      </c>
      <c r="G94" s="92">
        <v>9</v>
      </c>
      <c r="H94" s="92">
        <v>37.19</v>
      </c>
      <c r="I94" s="92">
        <v>9</v>
      </c>
      <c r="J94" s="92">
        <v>36.07</v>
      </c>
      <c r="K94" s="92">
        <v>9</v>
      </c>
      <c r="L94" s="92">
        <v>36.1</v>
      </c>
      <c r="M94" s="92">
        <v>9</v>
      </c>
      <c r="N94" s="92">
        <v>36.090000000000003</v>
      </c>
      <c r="O94" s="92">
        <v>9</v>
      </c>
      <c r="P94" s="92">
        <v>54.43</v>
      </c>
      <c r="Q94" s="92">
        <v>9</v>
      </c>
      <c r="R94" s="92">
        <v>36.1</v>
      </c>
      <c r="S94" s="92">
        <v>9</v>
      </c>
      <c r="T94" s="92">
        <v>34.869999999999997</v>
      </c>
      <c r="U94" s="92">
        <v>9</v>
      </c>
      <c r="V94" s="92">
        <v>36.25</v>
      </c>
      <c r="W94" s="92">
        <v>9</v>
      </c>
      <c r="X94" s="92">
        <v>36.090000000000003</v>
      </c>
      <c r="Y94" s="92">
        <v>9</v>
      </c>
      <c r="Z94" s="92">
        <v>36.090000000000003</v>
      </c>
      <c r="AA94" s="92">
        <v>9</v>
      </c>
      <c r="AB94" s="92">
        <v>36.1</v>
      </c>
    </row>
    <row r="95" spans="1:28">
      <c r="A95" s="92">
        <v>8</v>
      </c>
      <c r="B95" s="92">
        <v>35.75</v>
      </c>
      <c r="C95" s="92">
        <v>8</v>
      </c>
      <c r="D95" s="169">
        <v>35.75</v>
      </c>
      <c r="E95" s="92">
        <v>8</v>
      </c>
      <c r="F95" s="92">
        <v>35.75</v>
      </c>
      <c r="G95" s="92">
        <v>8</v>
      </c>
      <c r="H95" s="92">
        <v>36.85</v>
      </c>
      <c r="I95" s="92">
        <v>8</v>
      </c>
      <c r="J95" s="92">
        <v>35.71</v>
      </c>
      <c r="K95" s="92">
        <v>8</v>
      </c>
      <c r="L95" s="92">
        <v>35.74</v>
      </c>
      <c r="M95" s="92">
        <v>8</v>
      </c>
      <c r="N95" s="92">
        <v>35.75</v>
      </c>
      <c r="O95" s="92">
        <v>8</v>
      </c>
      <c r="P95" s="92">
        <v>53.92</v>
      </c>
      <c r="Q95" s="92">
        <v>8</v>
      </c>
      <c r="R95" s="92">
        <v>35.75</v>
      </c>
      <c r="S95" s="92">
        <v>8</v>
      </c>
      <c r="T95" s="92">
        <v>34.409999999999997</v>
      </c>
      <c r="U95" s="92">
        <v>8</v>
      </c>
      <c r="V95" s="92">
        <v>35.75</v>
      </c>
      <c r="W95" s="92">
        <v>8</v>
      </c>
      <c r="X95" s="92">
        <v>35.75</v>
      </c>
      <c r="Y95" s="92">
        <v>8</v>
      </c>
      <c r="Z95" s="92">
        <v>35.75</v>
      </c>
      <c r="AA95" s="92">
        <v>8</v>
      </c>
      <c r="AB95" s="92">
        <v>35.75</v>
      </c>
    </row>
    <row r="96" spans="1:28">
      <c r="A96" s="92">
        <v>7</v>
      </c>
      <c r="B96" s="92">
        <v>35.4</v>
      </c>
      <c r="C96" s="92">
        <v>7</v>
      </c>
      <c r="D96" s="169">
        <v>35.39</v>
      </c>
      <c r="E96" s="92">
        <v>7</v>
      </c>
      <c r="F96" s="92">
        <v>35.4</v>
      </c>
      <c r="G96" s="92">
        <v>7</v>
      </c>
      <c r="H96" s="92">
        <v>36.49</v>
      </c>
      <c r="I96" s="92">
        <v>7</v>
      </c>
      <c r="J96" s="92">
        <v>35.33</v>
      </c>
      <c r="K96" s="92">
        <v>7</v>
      </c>
      <c r="L96" s="92">
        <v>35.4</v>
      </c>
      <c r="M96" s="92">
        <v>7</v>
      </c>
      <c r="N96" s="92">
        <v>35.39</v>
      </c>
      <c r="O96" s="92">
        <v>7</v>
      </c>
      <c r="P96" s="92">
        <v>53.37</v>
      </c>
      <c r="Q96" s="92">
        <v>7</v>
      </c>
      <c r="R96" s="92">
        <v>35.4</v>
      </c>
      <c r="S96" s="92">
        <v>7</v>
      </c>
      <c r="T96" s="92">
        <v>33.909999999999997</v>
      </c>
      <c r="U96" s="92">
        <v>7</v>
      </c>
      <c r="V96" s="92">
        <v>35.630000000000003</v>
      </c>
      <c r="W96" s="92">
        <v>7</v>
      </c>
      <c r="X96" s="92">
        <v>35.4</v>
      </c>
      <c r="Y96" s="92">
        <v>7</v>
      </c>
      <c r="Z96" s="92">
        <v>35.39</v>
      </c>
      <c r="AA96" s="92">
        <v>7</v>
      </c>
      <c r="AB96" s="92">
        <v>35.4</v>
      </c>
    </row>
    <row r="97" spans="1:28">
      <c r="A97" s="92">
        <v>6</v>
      </c>
      <c r="B97" s="92">
        <v>34.880000000000003</v>
      </c>
      <c r="C97" s="92">
        <v>6</v>
      </c>
      <c r="D97" s="169">
        <v>34.869999999999997</v>
      </c>
      <c r="E97" s="92">
        <v>6</v>
      </c>
      <c r="F97" s="92">
        <v>34.880000000000003</v>
      </c>
      <c r="G97" s="92">
        <v>6</v>
      </c>
      <c r="H97" s="92">
        <v>35.97</v>
      </c>
      <c r="I97" s="92">
        <v>6</v>
      </c>
      <c r="J97" s="92">
        <v>34.880000000000003</v>
      </c>
      <c r="K97" s="92">
        <v>6</v>
      </c>
      <c r="L97" s="92">
        <v>34.880000000000003</v>
      </c>
      <c r="M97" s="92">
        <v>6</v>
      </c>
      <c r="N97" s="92">
        <v>34.869999999999997</v>
      </c>
      <c r="O97" s="92">
        <v>6</v>
      </c>
      <c r="P97" s="92">
        <v>52.59</v>
      </c>
      <c r="Q97" s="92">
        <v>6</v>
      </c>
      <c r="R97" s="92">
        <v>34.880000000000003</v>
      </c>
      <c r="S97" s="92">
        <v>6</v>
      </c>
      <c r="T97" s="92">
        <v>33.18</v>
      </c>
      <c r="U97" s="92">
        <v>6</v>
      </c>
      <c r="V97" s="92">
        <v>35.380000000000003</v>
      </c>
      <c r="W97" s="92">
        <v>6</v>
      </c>
      <c r="X97" s="92">
        <v>34.880000000000003</v>
      </c>
      <c r="Y97" s="92">
        <v>6</v>
      </c>
      <c r="Z97" s="92">
        <v>34.869999999999997</v>
      </c>
      <c r="AA97" s="92">
        <v>6</v>
      </c>
      <c r="AB97" s="92">
        <v>34.880000000000003</v>
      </c>
    </row>
    <row r="98" spans="1:28">
      <c r="A98" s="92">
        <v>5</v>
      </c>
      <c r="B98" s="92">
        <v>34.42</v>
      </c>
      <c r="C98" s="92">
        <v>5</v>
      </c>
      <c r="D98" s="169">
        <v>34.409999999999997</v>
      </c>
      <c r="E98" s="92">
        <v>5</v>
      </c>
      <c r="F98" s="92">
        <v>34.42</v>
      </c>
      <c r="G98" s="92">
        <v>5</v>
      </c>
      <c r="H98" s="92">
        <v>35.520000000000003</v>
      </c>
      <c r="I98" s="92">
        <v>5</v>
      </c>
      <c r="J98" s="92">
        <v>34.42</v>
      </c>
      <c r="K98" s="92">
        <v>5</v>
      </c>
      <c r="L98" s="92">
        <v>34.409999999999997</v>
      </c>
      <c r="M98" s="92">
        <v>5</v>
      </c>
      <c r="N98" s="92">
        <v>34.409999999999997</v>
      </c>
      <c r="O98" s="92">
        <v>5</v>
      </c>
      <c r="P98" s="92">
        <v>51.9</v>
      </c>
      <c r="Q98" s="92">
        <v>5</v>
      </c>
      <c r="R98" s="92">
        <v>34.42</v>
      </c>
      <c r="S98" s="92">
        <v>5</v>
      </c>
      <c r="T98" s="92">
        <v>32.31</v>
      </c>
      <c r="U98" s="92">
        <v>5</v>
      </c>
      <c r="V98" s="92">
        <v>35</v>
      </c>
      <c r="W98" s="92">
        <v>5</v>
      </c>
      <c r="X98" s="92">
        <v>34.42</v>
      </c>
      <c r="Y98" s="92">
        <v>5</v>
      </c>
      <c r="Z98" s="92">
        <v>34.409999999999997</v>
      </c>
      <c r="AA98" s="92">
        <v>5</v>
      </c>
      <c r="AB98" s="92">
        <v>34.42</v>
      </c>
    </row>
    <row r="99" spans="1:28">
      <c r="A99" s="92">
        <v>4</v>
      </c>
      <c r="B99" s="92">
        <v>33.92</v>
      </c>
      <c r="C99" s="92">
        <v>4</v>
      </c>
      <c r="D99" s="169">
        <v>33.909999999999997</v>
      </c>
      <c r="E99" s="92">
        <v>4</v>
      </c>
      <c r="F99" s="92">
        <v>33.92</v>
      </c>
      <c r="G99" s="92">
        <v>4</v>
      </c>
      <c r="H99" s="92">
        <v>35.020000000000003</v>
      </c>
      <c r="I99" s="92">
        <v>4</v>
      </c>
      <c r="J99" s="92">
        <v>33.92</v>
      </c>
      <c r="K99" s="92">
        <v>4</v>
      </c>
      <c r="L99" s="92">
        <v>33.909999999999997</v>
      </c>
      <c r="M99" s="92">
        <v>4</v>
      </c>
      <c r="N99" s="92">
        <v>33.909999999999997</v>
      </c>
      <c r="O99" s="92">
        <v>4</v>
      </c>
      <c r="P99" s="92">
        <v>51.14</v>
      </c>
      <c r="Q99" s="92">
        <v>4</v>
      </c>
      <c r="R99" s="92">
        <v>33.92</v>
      </c>
      <c r="S99" s="92">
        <v>4</v>
      </c>
      <c r="T99" s="92">
        <v>31.25</v>
      </c>
      <c r="U99" s="92">
        <v>4</v>
      </c>
      <c r="V99" s="92">
        <v>34</v>
      </c>
      <c r="W99" s="92">
        <v>4</v>
      </c>
      <c r="X99" s="92">
        <v>33.92</v>
      </c>
      <c r="Y99" s="92">
        <v>4</v>
      </c>
      <c r="Z99" s="92">
        <v>33.909999999999997</v>
      </c>
      <c r="AA99" s="92">
        <v>4</v>
      </c>
      <c r="AB99" s="92">
        <v>33.92</v>
      </c>
    </row>
    <row r="100" spans="1:28">
      <c r="A100" s="92">
        <v>3</v>
      </c>
      <c r="B100" s="92">
        <v>33.19</v>
      </c>
      <c r="C100" s="92">
        <v>3</v>
      </c>
      <c r="D100" s="169">
        <v>33.18</v>
      </c>
      <c r="E100" s="92">
        <v>3</v>
      </c>
      <c r="F100" s="92">
        <v>33.19</v>
      </c>
      <c r="G100" s="92">
        <v>3</v>
      </c>
      <c r="H100" s="92">
        <v>34.29</v>
      </c>
      <c r="I100" s="92">
        <v>3</v>
      </c>
      <c r="J100" s="92">
        <v>33.130000000000003</v>
      </c>
      <c r="K100" s="92">
        <v>3</v>
      </c>
      <c r="L100" s="92">
        <v>33.19</v>
      </c>
      <c r="M100" s="92">
        <v>3</v>
      </c>
      <c r="N100" s="92">
        <v>33.18</v>
      </c>
      <c r="O100" s="92">
        <v>3</v>
      </c>
      <c r="P100" s="92">
        <v>50.04</v>
      </c>
      <c r="Q100" s="92">
        <v>3</v>
      </c>
      <c r="R100" s="92">
        <v>33.19</v>
      </c>
      <c r="S100" s="92">
        <v>3</v>
      </c>
      <c r="T100" s="92">
        <v>29.62</v>
      </c>
      <c r="U100" s="92">
        <v>3</v>
      </c>
      <c r="V100" s="92">
        <v>33.5</v>
      </c>
      <c r="W100" s="92">
        <v>3</v>
      </c>
      <c r="X100" s="92">
        <v>33.159999999999997</v>
      </c>
      <c r="Y100" s="92">
        <v>3</v>
      </c>
      <c r="Z100" s="92">
        <v>33.18</v>
      </c>
      <c r="AA100" s="92">
        <v>3</v>
      </c>
      <c r="AB100" s="92">
        <v>33.19</v>
      </c>
    </row>
    <row r="101" spans="1:28">
      <c r="A101" s="92">
        <v>2</v>
      </c>
      <c r="B101" s="92">
        <v>32.31</v>
      </c>
      <c r="C101" s="92">
        <v>2</v>
      </c>
      <c r="D101" s="169">
        <v>32.31</v>
      </c>
      <c r="E101" s="92">
        <v>2</v>
      </c>
      <c r="F101" s="92">
        <v>32.31</v>
      </c>
      <c r="G101" s="92">
        <v>2</v>
      </c>
      <c r="H101" s="92">
        <v>33.409999999999997</v>
      </c>
      <c r="I101" s="92">
        <v>2</v>
      </c>
      <c r="J101" s="92">
        <v>32.19</v>
      </c>
      <c r="K101" s="92">
        <v>2</v>
      </c>
      <c r="L101" s="92">
        <v>32.31</v>
      </c>
      <c r="M101" s="92">
        <v>2</v>
      </c>
      <c r="N101" s="92">
        <v>32.31</v>
      </c>
      <c r="O101" s="92">
        <v>2</v>
      </c>
      <c r="P101" s="92">
        <v>48.73</v>
      </c>
      <c r="Q101" s="92">
        <v>2</v>
      </c>
      <c r="R101" s="92">
        <v>32.31</v>
      </c>
      <c r="S101" s="92">
        <v>2</v>
      </c>
      <c r="T101" s="92">
        <v>32.31</v>
      </c>
      <c r="U101" s="92">
        <v>2</v>
      </c>
      <c r="V101" s="92">
        <v>32.880000000000003</v>
      </c>
      <c r="W101" s="92">
        <v>2</v>
      </c>
      <c r="X101" s="92">
        <v>32.22</v>
      </c>
      <c r="Y101" s="92">
        <v>2</v>
      </c>
      <c r="Z101" s="92">
        <v>32.31</v>
      </c>
      <c r="AA101" s="92">
        <v>2</v>
      </c>
      <c r="AB101" s="92">
        <v>32.31</v>
      </c>
    </row>
    <row r="102" spans="1:28">
      <c r="A102" s="92">
        <v>1</v>
      </c>
      <c r="B102" s="92">
        <v>31.25</v>
      </c>
      <c r="C102" s="92">
        <v>1</v>
      </c>
      <c r="D102" s="169">
        <v>31.25</v>
      </c>
      <c r="E102" s="92">
        <v>1</v>
      </c>
      <c r="F102" s="92">
        <v>31.25</v>
      </c>
      <c r="G102" s="92">
        <v>1</v>
      </c>
      <c r="H102" s="92">
        <v>32.35</v>
      </c>
      <c r="I102" s="92">
        <v>1</v>
      </c>
      <c r="J102" s="92">
        <v>31.25</v>
      </c>
      <c r="K102" s="92">
        <v>1</v>
      </c>
      <c r="L102" s="92">
        <v>31.25</v>
      </c>
      <c r="M102" s="92">
        <v>1</v>
      </c>
      <c r="N102" s="92">
        <v>31.25</v>
      </c>
      <c r="O102" s="92">
        <v>1</v>
      </c>
      <c r="P102" s="92">
        <v>47.13</v>
      </c>
      <c r="Q102" s="92">
        <v>1</v>
      </c>
      <c r="R102" s="92">
        <v>31.25</v>
      </c>
      <c r="S102" s="92">
        <v>1</v>
      </c>
      <c r="T102" s="92">
        <v>31.25</v>
      </c>
      <c r="U102" s="92">
        <v>1</v>
      </c>
      <c r="V102" s="92">
        <v>31.88</v>
      </c>
      <c r="W102" s="92">
        <v>1</v>
      </c>
      <c r="X102" s="92">
        <v>30.94</v>
      </c>
      <c r="Y102" s="92">
        <v>1</v>
      </c>
      <c r="Z102" s="92">
        <v>31.25</v>
      </c>
      <c r="AA102" s="92">
        <v>1</v>
      </c>
      <c r="AB102" s="92">
        <v>31.25</v>
      </c>
    </row>
    <row r="103" spans="1:28">
      <c r="A103" s="92">
        <v>0</v>
      </c>
      <c r="B103" s="92">
        <v>0</v>
      </c>
      <c r="C103" s="92">
        <v>0</v>
      </c>
      <c r="D103" s="92">
        <v>0</v>
      </c>
      <c r="E103" s="92">
        <v>0</v>
      </c>
      <c r="F103" s="92">
        <v>0</v>
      </c>
      <c r="G103" s="92">
        <v>0</v>
      </c>
      <c r="H103" s="92">
        <v>0</v>
      </c>
      <c r="I103" s="92">
        <v>0</v>
      </c>
      <c r="J103" s="92">
        <v>0</v>
      </c>
      <c r="K103" s="92">
        <v>0</v>
      </c>
      <c r="L103" s="92">
        <v>0</v>
      </c>
      <c r="M103" s="92">
        <v>0</v>
      </c>
      <c r="N103" s="92">
        <v>0</v>
      </c>
      <c r="O103" s="92">
        <v>0</v>
      </c>
      <c r="P103" s="92">
        <v>0</v>
      </c>
      <c r="Q103" s="92">
        <v>0</v>
      </c>
      <c r="R103" s="92">
        <v>0</v>
      </c>
      <c r="S103" s="92">
        <v>0</v>
      </c>
      <c r="T103" s="92">
        <v>0</v>
      </c>
      <c r="U103" s="92">
        <v>0</v>
      </c>
      <c r="V103" s="92">
        <v>0</v>
      </c>
      <c r="W103" s="92">
        <v>0</v>
      </c>
      <c r="X103" s="92">
        <v>0</v>
      </c>
      <c r="Y103" s="92">
        <v>0</v>
      </c>
      <c r="Z103" s="92">
        <v>0</v>
      </c>
      <c r="AA103" s="92">
        <v>0</v>
      </c>
      <c r="AB103" s="92">
        <v>0</v>
      </c>
    </row>
  </sheetData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P105"/>
  <sheetViews>
    <sheetView topLeftCell="E1" workbookViewId="0">
      <selection activeCell="K106" sqref="K106"/>
    </sheetView>
  </sheetViews>
  <sheetFormatPr defaultRowHeight="16.5"/>
  <cols>
    <col min="1" max="2" width="9.875" style="163" customWidth="1"/>
    <col min="3" max="3" width="20.625" style="163" customWidth="1"/>
    <col min="4" max="5" width="9.875" style="163" customWidth="1"/>
    <col min="6" max="6" width="20.625" style="163" customWidth="1"/>
  </cols>
  <sheetData>
    <row r="1" spans="1:16" ht="17.25" thickBot="1">
      <c r="A1" s="326" t="s">
        <v>375</v>
      </c>
      <c r="B1" s="327"/>
      <c r="C1" s="327"/>
      <c r="D1" s="327" t="s">
        <v>378</v>
      </c>
      <c r="E1" s="327"/>
      <c r="F1" s="327"/>
      <c r="H1" s="202" t="s">
        <v>508</v>
      </c>
      <c r="I1" s="213"/>
      <c r="J1" s="203" t="s">
        <v>509</v>
      </c>
      <c r="K1" s="202" t="s">
        <v>511</v>
      </c>
      <c r="L1" s="213"/>
      <c r="M1" s="203" t="s">
        <v>509</v>
      </c>
      <c r="N1" s="328" t="s">
        <v>2</v>
      </c>
      <c r="O1" s="324" t="s">
        <v>201</v>
      </c>
      <c r="P1" s="325"/>
    </row>
    <row r="2" spans="1:16" ht="27.75" thickBot="1">
      <c r="A2" s="160" t="s">
        <v>2</v>
      </c>
      <c r="B2" s="161" t="s">
        <v>4</v>
      </c>
      <c r="C2" s="162" t="s">
        <v>376</v>
      </c>
      <c r="D2" s="148" t="s">
        <v>2</v>
      </c>
      <c r="E2" s="149" t="s">
        <v>4</v>
      </c>
      <c r="F2" s="164" t="s">
        <v>379</v>
      </c>
      <c r="H2" s="205" t="s">
        <v>2</v>
      </c>
      <c r="I2" s="206" t="s">
        <v>4</v>
      </c>
      <c r="J2" s="204" t="s">
        <v>510</v>
      </c>
      <c r="K2" s="205" t="s">
        <v>2</v>
      </c>
      <c r="L2" s="206" t="s">
        <v>4</v>
      </c>
      <c r="M2" s="204" t="s">
        <v>510</v>
      </c>
      <c r="N2" s="329"/>
      <c r="O2" s="218" t="s">
        <v>512</v>
      </c>
      <c r="P2" s="219" t="s">
        <v>513</v>
      </c>
    </row>
    <row r="3" spans="1:16" ht="17.25" thickTop="1">
      <c r="A3" s="148">
        <v>99</v>
      </c>
      <c r="B3" s="149">
        <v>132</v>
      </c>
      <c r="C3" s="150">
        <v>130</v>
      </c>
      <c r="D3" s="139">
        <v>100</v>
      </c>
      <c r="E3" s="140">
        <v>138</v>
      </c>
      <c r="F3" s="141">
        <v>143</v>
      </c>
      <c r="H3" s="207">
        <v>99</v>
      </c>
      <c r="I3" s="208">
        <v>132</v>
      </c>
      <c r="J3" s="209">
        <v>130</v>
      </c>
      <c r="K3" s="214">
        <v>100</v>
      </c>
      <c r="L3" s="215">
        <v>138</v>
      </c>
      <c r="M3" s="209">
        <v>143</v>
      </c>
      <c r="N3" s="220">
        <v>100</v>
      </c>
      <c r="O3" s="221">
        <v>66.400000000000006</v>
      </c>
      <c r="P3" s="222">
        <v>69.63</v>
      </c>
    </row>
    <row r="4" spans="1:16">
      <c r="A4" s="139">
        <v>98</v>
      </c>
      <c r="B4" s="140">
        <v>130</v>
      </c>
      <c r="C4" s="141">
        <v>129</v>
      </c>
      <c r="D4" s="139">
        <v>99</v>
      </c>
      <c r="E4" s="140">
        <v>137</v>
      </c>
      <c r="F4" s="141">
        <v>141</v>
      </c>
      <c r="H4" s="210">
        <v>98</v>
      </c>
      <c r="I4" s="211">
        <v>130</v>
      </c>
      <c r="J4" s="212">
        <v>129</v>
      </c>
      <c r="K4" s="216">
        <v>99</v>
      </c>
      <c r="L4" s="217">
        <v>137</v>
      </c>
      <c r="M4" s="212">
        <v>141</v>
      </c>
      <c r="N4" s="223">
        <v>99</v>
      </c>
      <c r="O4" s="224">
        <v>66.19</v>
      </c>
      <c r="P4" s="225">
        <v>68.53</v>
      </c>
    </row>
    <row r="5" spans="1:16">
      <c r="A5" s="139">
        <v>97</v>
      </c>
      <c r="B5" s="140">
        <v>129</v>
      </c>
      <c r="C5" s="141">
        <v>128</v>
      </c>
      <c r="D5" s="139">
        <v>99</v>
      </c>
      <c r="E5" s="140">
        <v>136</v>
      </c>
      <c r="F5" s="141">
        <v>140.66</v>
      </c>
      <c r="H5" s="210">
        <v>97</v>
      </c>
      <c r="I5" s="211">
        <v>129</v>
      </c>
      <c r="J5" s="212">
        <v>128</v>
      </c>
      <c r="K5" s="216">
        <v>99</v>
      </c>
      <c r="L5" s="217">
        <v>136</v>
      </c>
      <c r="M5" s="212">
        <v>140.66999999999999</v>
      </c>
      <c r="N5" s="223">
        <v>98</v>
      </c>
      <c r="O5" s="224">
        <v>65.92</v>
      </c>
      <c r="P5" s="225">
        <v>67.25</v>
      </c>
    </row>
    <row r="6" spans="1:16">
      <c r="A6" s="139">
        <v>96</v>
      </c>
      <c r="B6" s="140">
        <v>128</v>
      </c>
      <c r="C6" s="141">
        <v>127</v>
      </c>
      <c r="D6" s="139">
        <v>99</v>
      </c>
      <c r="E6" s="140">
        <v>135</v>
      </c>
      <c r="F6" s="141">
        <v>140.33000000000001</v>
      </c>
      <c r="H6" s="210">
        <v>96</v>
      </c>
      <c r="I6" s="211">
        <v>128</v>
      </c>
      <c r="J6" s="212">
        <v>127</v>
      </c>
      <c r="K6" s="216">
        <v>99</v>
      </c>
      <c r="L6" s="217">
        <v>135</v>
      </c>
      <c r="M6" s="212">
        <v>140.33000000000001</v>
      </c>
      <c r="N6" s="223">
        <v>97</v>
      </c>
      <c r="O6" s="224">
        <v>65.48</v>
      </c>
      <c r="P6" s="225">
        <v>66.47</v>
      </c>
    </row>
    <row r="7" spans="1:16">
      <c r="A7" s="139">
        <v>95</v>
      </c>
      <c r="B7" s="140">
        <v>127</v>
      </c>
      <c r="C7" s="141">
        <v>126.5</v>
      </c>
      <c r="D7" s="139">
        <v>98</v>
      </c>
      <c r="E7" s="140">
        <v>134</v>
      </c>
      <c r="F7" s="141">
        <v>140</v>
      </c>
      <c r="H7" s="210">
        <v>95</v>
      </c>
      <c r="I7" s="211">
        <v>127</v>
      </c>
      <c r="J7" s="212">
        <v>126.5</v>
      </c>
      <c r="K7" s="216">
        <v>98</v>
      </c>
      <c r="L7" s="217">
        <v>134</v>
      </c>
      <c r="M7" s="212">
        <v>140</v>
      </c>
      <c r="N7" s="223">
        <v>96</v>
      </c>
      <c r="O7" s="224">
        <v>65.040000000000006</v>
      </c>
      <c r="P7" s="225">
        <v>65.83</v>
      </c>
    </row>
    <row r="8" spans="1:16">
      <c r="A8" s="139">
        <v>94</v>
      </c>
      <c r="B8" s="140">
        <v>126</v>
      </c>
      <c r="C8" s="141">
        <v>126</v>
      </c>
      <c r="D8" s="139">
        <v>97</v>
      </c>
      <c r="E8" s="140">
        <v>133</v>
      </c>
      <c r="F8" s="141">
        <v>139</v>
      </c>
      <c r="H8" s="210">
        <v>94</v>
      </c>
      <c r="I8" s="211">
        <v>126</v>
      </c>
      <c r="J8" s="212">
        <v>126</v>
      </c>
      <c r="K8" s="216">
        <v>97</v>
      </c>
      <c r="L8" s="217">
        <v>133</v>
      </c>
      <c r="M8" s="212">
        <v>139</v>
      </c>
      <c r="N8" s="223">
        <v>95</v>
      </c>
      <c r="O8" s="224">
        <v>64.67</v>
      </c>
      <c r="P8" s="225">
        <v>65.319999999999993</v>
      </c>
    </row>
    <row r="9" spans="1:16">
      <c r="A9" s="139">
        <v>92</v>
      </c>
      <c r="B9" s="140">
        <v>125</v>
      </c>
      <c r="C9" s="141">
        <v>123.5</v>
      </c>
      <c r="D9" s="139">
        <v>96</v>
      </c>
      <c r="E9" s="140">
        <v>132</v>
      </c>
      <c r="F9" s="141">
        <v>137</v>
      </c>
      <c r="H9" s="210">
        <v>92</v>
      </c>
      <c r="I9" s="211">
        <v>125</v>
      </c>
      <c r="J9" s="212">
        <v>123.5</v>
      </c>
      <c r="K9" s="216">
        <v>96</v>
      </c>
      <c r="L9" s="217">
        <v>132</v>
      </c>
      <c r="M9" s="212">
        <v>137</v>
      </c>
      <c r="N9" s="223">
        <v>94</v>
      </c>
      <c r="O9" s="224">
        <v>64.33</v>
      </c>
      <c r="P9" s="225">
        <v>64.81</v>
      </c>
    </row>
    <row r="10" spans="1:16">
      <c r="A10" s="139">
        <v>91</v>
      </c>
      <c r="B10" s="140">
        <v>124</v>
      </c>
      <c r="C10" s="141">
        <v>123</v>
      </c>
      <c r="D10" s="139">
        <v>95</v>
      </c>
      <c r="E10" s="140">
        <v>131</v>
      </c>
      <c r="F10" s="141">
        <v>136</v>
      </c>
      <c r="H10" s="210">
        <v>91</v>
      </c>
      <c r="I10" s="211">
        <v>124</v>
      </c>
      <c r="J10" s="212">
        <v>123</v>
      </c>
      <c r="K10" s="216">
        <v>95</v>
      </c>
      <c r="L10" s="217">
        <v>131</v>
      </c>
      <c r="M10" s="212">
        <v>136</v>
      </c>
      <c r="N10" s="223">
        <v>93</v>
      </c>
      <c r="O10" s="224">
        <v>64.03</v>
      </c>
      <c r="P10" s="225">
        <v>64.37</v>
      </c>
    </row>
    <row r="11" spans="1:16">
      <c r="A11" s="139">
        <v>89</v>
      </c>
      <c r="B11" s="140">
        <v>123</v>
      </c>
      <c r="C11" s="141">
        <v>122</v>
      </c>
      <c r="D11" s="139">
        <v>95</v>
      </c>
      <c r="E11" s="140">
        <v>130</v>
      </c>
      <c r="F11" s="141">
        <v>135</v>
      </c>
      <c r="H11" s="210">
        <v>89</v>
      </c>
      <c r="I11" s="211">
        <v>123</v>
      </c>
      <c r="J11" s="212">
        <v>122</v>
      </c>
      <c r="K11" s="216">
        <v>95</v>
      </c>
      <c r="L11" s="217">
        <v>130</v>
      </c>
      <c r="M11" s="212">
        <v>135</v>
      </c>
      <c r="N11" s="223">
        <v>92</v>
      </c>
      <c r="O11" s="224">
        <v>63.7</v>
      </c>
      <c r="P11" s="225">
        <v>63.92</v>
      </c>
    </row>
    <row r="12" spans="1:16">
      <c r="A12" s="139">
        <v>87</v>
      </c>
      <c r="B12" s="140">
        <v>122</v>
      </c>
      <c r="C12" s="141">
        <v>121</v>
      </c>
      <c r="D12" s="139">
        <v>94</v>
      </c>
      <c r="E12" s="140">
        <v>129</v>
      </c>
      <c r="F12" s="141">
        <v>134</v>
      </c>
      <c r="H12" s="210">
        <v>87</v>
      </c>
      <c r="I12" s="211">
        <v>122</v>
      </c>
      <c r="J12" s="212">
        <v>121</v>
      </c>
      <c r="K12" s="216">
        <v>94</v>
      </c>
      <c r="L12" s="217">
        <v>129</v>
      </c>
      <c r="M12" s="212">
        <v>134</v>
      </c>
      <c r="N12" s="223">
        <v>91</v>
      </c>
      <c r="O12" s="224">
        <v>63.39</v>
      </c>
      <c r="P12" s="225">
        <v>63.53</v>
      </c>
    </row>
    <row r="13" spans="1:16">
      <c r="A13" s="139">
        <v>86</v>
      </c>
      <c r="B13" s="140">
        <v>121</v>
      </c>
      <c r="C13" s="141">
        <v>120.66</v>
      </c>
      <c r="D13" s="139">
        <v>92</v>
      </c>
      <c r="E13" s="140">
        <v>128</v>
      </c>
      <c r="F13" s="141">
        <v>133</v>
      </c>
      <c r="H13" s="210">
        <v>86</v>
      </c>
      <c r="I13" s="211">
        <v>121</v>
      </c>
      <c r="J13" s="212">
        <v>120.67</v>
      </c>
      <c r="K13" s="216">
        <v>92</v>
      </c>
      <c r="L13" s="217">
        <v>128</v>
      </c>
      <c r="M13" s="212">
        <v>133</v>
      </c>
      <c r="N13" s="223">
        <v>90</v>
      </c>
      <c r="O13" s="224">
        <v>63.03</v>
      </c>
      <c r="P13" s="225">
        <v>63.14</v>
      </c>
    </row>
    <row r="14" spans="1:16">
      <c r="A14" s="139">
        <v>84</v>
      </c>
      <c r="B14" s="140">
        <v>120</v>
      </c>
      <c r="C14" s="141">
        <v>120</v>
      </c>
      <c r="D14" s="139">
        <v>91</v>
      </c>
      <c r="E14" s="140">
        <v>127</v>
      </c>
      <c r="F14" s="141">
        <v>131.5</v>
      </c>
      <c r="H14" s="210">
        <v>84</v>
      </c>
      <c r="I14" s="211">
        <v>120</v>
      </c>
      <c r="J14" s="212">
        <v>120</v>
      </c>
      <c r="K14" s="216">
        <v>91</v>
      </c>
      <c r="L14" s="217">
        <v>127</v>
      </c>
      <c r="M14" s="212">
        <v>130.5</v>
      </c>
      <c r="N14" s="223">
        <v>89</v>
      </c>
      <c r="O14" s="224">
        <v>62.74</v>
      </c>
      <c r="P14" s="225">
        <v>62.78</v>
      </c>
    </row>
    <row r="15" spans="1:16">
      <c r="A15" s="139">
        <v>82</v>
      </c>
      <c r="B15" s="140">
        <v>119</v>
      </c>
      <c r="C15" s="141">
        <v>119</v>
      </c>
      <c r="D15" s="139">
        <v>90</v>
      </c>
      <c r="E15" s="140">
        <v>126</v>
      </c>
      <c r="F15" s="141">
        <v>130</v>
      </c>
      <c r="H15" s="210">
        <v>82</v>
      </c>
      <c r="I15" s="211">
        <v>119</v>
      </c>
      <c r="J15" s="212">
        <v>119</v>
      </c>
      <c r="K15" s="216">
        <v>90</v>
      </c>
      <c r="L15" s="217">
        <v>126</v>
      </c>
      <c r="M15" s="212">
        <v>130</v>
      </c>
      <c r="N15" s="223">
        <v>88</v>
      </c>
      <c r="O15" s="224">
        <v>62.47</v>
      </c>
      <c r="P15" s="225">
        <v>62.48</v>
      </c>
    </row>
    <row r="16" spans="1:16">
      <c r="A16" s="139">
        <v>80</v>
      </c>
      <c r="B16" s="140">
        <v>118</v>
      </c>
      <c r="C16" s="141">
        <v>118</v>
      </c>
      <c r="D16" s="139">
        <v>88</v>
      </c>
      <c r="E16" s="140">
        <v>125</v>
      </c>
      <c r="F16" s="141">
        <v>128</v>
      </c>
      <c r="H16" s="210">
        <v>80</v>
      </c>
      <c r="I16" s="211">
        <v>118</v>
      </c>
      <c r="J16" s="212">
        <v>118</v>
      </c>
      <c r="K16" s="216">
        <v>88</v>
      </c>
      <c r="L16" s="217">
        <v>125</v>
      </c>
      <c r="M16" s="212">
        <v>128</v>
      </c>
      <c r="N16" s="223">
        <v>87</v>
      </c>
      <c r="O16" s="224">
        <v>62.19</v>
      </c>
      <c r="P16" s="225">
        <v>62.18</v>
      </c>
    </row>
    <row r="17" spans="1:16">
      <c r="A17" s="139">
        <v>78</v>
      </c>
      <c r="B17" s="140">
        <v>117</v>
      </c>
      <c r="C17" s="141">
        <v>117</v>
      </c>
      <c r="D17" s="139">
        <v>87</v>
      </c>
      <c r="E17" s="140">
        <v>124</v>
      </c>
      <c r="F17" s="141">
        <v>127.5</v>
      </c>
      <c r="H17" s="210">
        <v>78</v>
      </c>
      <c r="I17" s="211">
        <v>117</v>
      </c>
      <c r="J17" s="212">
        <v>117</v>
      </c>
      <c r="K17" s="216">
        <v>87</v>
      </c>
      <c r="L17" s="217">
        <v>124</v>
      </c>
      <c r="M17" s="212">
        <v>127.5</v>
      </c>
      <c r="N17" s="223">
        <v>86</v>
      </c>
      <c r="O17" s="224">
        <v>61.9</v>
      </c>
      <c r="P17" s="225">
        <v>61.82</v>
      </c>
    </row>
    <row r="18" spans="1:16">
      <c r="A18" s="139">
        <v>76</v>
      </c>
      <c r="B18" s="140">
        <v>116</v>
      </c>
      <c r="C18" s="141">
        <v>116.33</v>
      </c>
      <c r="D18" s="139">
        <v>85</v>
      </c>
      <c r="E18" s="140">
        <v>123</v>
      </c>
      <c r="F18" s="141">
        <v>126</v>
      </c>
      <c r="H18" s="210">
        <v>76</v>
      </c>
      <c r="I18" s="211">
        <v>116</v>
      </c>
      <c r="J18" s="212">
        <v>116.33</v>
      </c>
      <c r="K18" s="216">
        <v>85</v>
      </c>
      <c r="L18" s="217">
        <v>123</v>
      </c>
      <c r="M18" s="212">
        <v>126</v>
      </c>
      <c r="N18" s="223">
        <v>85</v>
      </c>
      <c r="O18" s="224">
        <v>61.65</v>
      </c>
      <c r="P18" s="225">
        <v>61.48</v>
      </c>
    </row>
    <row r="19" spans="1:16">
      <c r="A19" s="139">
        <v>74</v>
      </c>
      <c r="B19" s="140">
        <v>115</v>
      </c>
      <c r="C19" s="141">
        <v>115.5</v>
      </c>
      <c r="D19" s="139">
        <v>83</v>
      </c>
      <c r="E19" s="140">
        <v>122</v>
      </c>
      <c r="F19" s="141">
        <v>124</v>
      </c>
      <c r="H19" s="210">
        <v>74</v>
      </c>
      <c r="I19" s="211">
        <v>115</v>
      </c>
      <c r="J19" s="212">
        <v>115.5</v>
      </c>
      <c r="K19" s="216">
        <v>83</v>
      </c>
      <c r="L19" s="217">
        <v>122</v>
      </c>
      <c r="M19" s="212">
        <v>124</v>
      </c>
      <c r="N19" s="223">
        <v>84</v>
      </c>
      <c r="O19" s="224">
        <v>61.39</v>
      </c>
      <c r="P19" s="225">
        <v>61.15</v>
      </c>
    </row>
    <row r="20" spans="1:16">
      <c r="A20" s="139">
        <v>72</v>
      </c>
      <c r="B20" s="140">
        <v>114</v>
      </c>
      <c r="C20" s="141">
        <v>114.5</v>
      </c>
      <c r="D20" s="139">
        <v>82</v>
      </c>
      <c r="E20" s="140">
        <v>121</v>
      </c>
      <c r="F20" s="141">
        <v>123.5</v>
      </c>
      <c r="H20" s="210">
        <v>72</v>
      </c>
      <c r="I20" s="211">
        <v>114</v>
      </c>
      <c r="J20" s="212">
        <v>114.5</v>
      </c>
      <c r="K20" s="216">
        <v>82</v>
      </c>
      <c r="L20" s="217">
        <v>121</v>
      </c>
      <c r="M20" s="212">
        <v>123.5</v>
      </c>
      <c r="N20" s="223">
        <v>83</v>
      </c>
      <c r="O20" s="224">
        <v>61.11</v>
      </c>
      <c r="P20" s="225">
        <v>60.8</v>
      </c>
    </row>
    <row r="21" spans="1:16">
      <c r="A21" s="139">
        <v>70</v>
      </c>
      <c r="B21" s="140">
        <v>113</v>
      </c>
      <c r="C21" s="141">
        <v>113.5</v>
      </c>
      <c r="D21" s="139">
        <v>82</v>
      </c>
      <c r="E21" s="140">
        <v>120</v>
      </c>
      <c r="F21" s="141">
        <v>122.25</v>
      </c>
      <c r="H21" s="210">
        <v>70</v>
      </c>
      <c r="I21" s="211">
        <v>113</v>
      </c>
      <c r="J21" s="212">
        <v>113.5</v>
      </c>
      <c r="K21" s="216">
        <v>82</v>
      </c>
      <c r="L21" s="217">
        <v>120</v>
      </c>
      <c r="M21" s="212">
        <v>123.12</v>
      </c>
      <c r="N21" s="223">
        <v>82</v>
      </c>
      <c r="O21" s="224">
        <v>60.8</v>
      </c>
      <c r="P21" s="225">
        <v>60.49</v>
      </c>
    </row>
    <row r="22" spans="1:16">
      <c r="A22" s="139">
        <v>68</v>
      </c>
      <c r="B22" s="140">
        <v>112</v>
      </c>
      <c r="C22" s="141">
        <v>112.5</v>
      </c>
      <c r="D22" s="139">
        <v>79</v>
      </c>
      <c r="E22" s="140">
        <v>119</v>
      </c>
      <c r="F22" s="141">
        <v>121</v>
      </c>
      <c r="H22" s="210">
        <v>68</v>
      </c>
      <c r="I22" s="211">
        <v>112</v>
      </c>
      <c r="J22" s="212">
        <v>112.5</v>
      </c>
      <c r="K22" s="216">
        <v>79</v>
      </c>
      <c r="L22" s="217">
        <v>119</v>
      </c>
      <c r="M22" s="212">
        <v>121</v>
      </c>
      <c r="N22" s="223">
        <v>81</v>
      </c>
      <c r="O22" s="224">
        <v>60.47</v>
      </c>
      <c r="P22" s="225">
        <v>60.21</v>
      </c>
    </row>
    <row r="23" spans="1:16">
      <c r="A23" s="139">
        <v>66</v>
      </c>
      <c r="B23" s="140">
        <v>111</v>
      </c>
      <c r="C23" s="141">
        <v>111.66</v>
      </c>
      <c r="D23" s="139">
        <v>77</v>
      </c>
      <c r="E23" s="140">
        <v>118</v>
      </c>
      <c r="F23" s="141">
        <v>119.5</v>
      </c>
      <c r="H23" s="210">
        <v>66</v>
      </c>
      <c r="I23" s="211">
        <v>111</v>
      </c>
      <c r="J23" s="212">
        <v>111.67</v>
      </c>
      <c r="K23" s="216">
        <v>77</v>
      </c>
      <c r="L23" s="217">
        <v>118</v>
      </c>
      <c r="M23" s="212">
        <v>119.5</v>
      </c>
      <c r="N23" s="223">
        <v>80</v>
      </c>
      <c r="O23" s="224">
        <v>60.16</v>
      </c>
      <c r="P23" s="225">
        <v>59.92</v>
      </c>
    </row>
    <row r="24" spans="1:16">
      <c r="A24" s="139">
        <v>64</v>
      </c>
      <c r="B24" s="140">
        <v>110</v>
      </c>
      <c r="C24" s="141">
        <v>111</v>
      </c>
      <c r="D24" s="139">
        <v>76</v>
      </c>
      <c r="E24" s="140">
        <v>117</v>
      </c>
      <c r="F24" s="141">
        <v>119</v>
      </c>
      <c r="H24" s="210">
        <v>64</v>
      </c>
      <c r="I24" s="211">
        <v>110</v>
      </c>
      <c r="J24" s="212">
        <v>111</v>
      </c>
      <c r="K24" s="216">
        <v>76</v>
      </c>
      <c r="L24" s="217">
        <v>117</v>
      </c>
      <c r="M24" s="212">
        <v>119</v>
      </c>
      <c r="N24" s="223">
        <v>79</v>
      </c>
      <c r="O24" s="224">
        <v>59.91</v>
      </c>
      <c r="P24" s="225">
        <v>59.62</v>
      </c>
    </row>
    <row r="25" spans="1:16">
      <c r="A25" s="139">
        <v>62</v>
      </c>
      <c r="B25" s="140">
        <v>109</v>
      </c>
      <c r="C25" s="141">
        <v>110</v>
      </c>
      <c r="D25" s="139">
        <v>75</v>
      </c>
      <c r="E25" s="140">
        <v>116</v>
      </c>
      <c r="F25" s="141">
        <v>118</v>
      </c>
      <c r="H25" s="210">
        <v>62</v>
      </c>
      <c r="I25" s="211">
        <v>109</v>
      </c>
      <c r="J25" s="212">
        <v>110</v>
      </c>
      <c r="K25" s="216">
        <v>75</v>
      </c>
      <c r="L25" s="217">
        <v>116</v>
      </c>
      <c r="M25" s="212">
        <v>118</v>
      </c>
      <c r="N25" s="223">
        <v>78</v>
      </c>
      <c r="O25" s="224">
        <v>59.65</v>
      </c>
      <c r="P25" s="225">
        <v>59.32</v>
      </c>
    </row>
    <row r="26" spans="1:16">
      <c r="A26" s="139">
        <v>60</v>
      </c>
      <c r="B26" s="140">
        <v>108</v>
      </c>
      <c r="C26" s="141">
        <v>109</v>
      </c>
      <c r="D26" s="139">
        <v>73</v>
      </c>
      <c r="E26" s="140">
        <v>115</v>
      </c>
      <c r="F26" s="141">
        <v>116</v>
      </c>
      <c r="H26" s="210">
        <v>60</v>
      </c>
      <c r="I26" s="211">
        <v>108</v>
      </c>
      <c r="J26" s="212">
        <v>109</v>
      </c>
      <c r="K26" s="216">
        <v>73</v>
      </c>
      <c r="L26" s="217">
        <v>115</v>
      </c>
      <c r="M26" s="212">
        <v>116</v>
      </c>
      <c r="N26" s="223">
        <v>77</v>
      </c>
      <c r="O26" s="224">
        <v>59.34</v>
      </c>
      <c r="P26" s="225">
        <v>59.01</v>
      </c>
    </row>
    <row r="27" spans="1:16">
      <c r="A27" s="139">
        <v>58</v>
      </c>
      <c r="B27" s="140">
        <v>107</v>
      </c>
      <c r="C27" s="141">
        <v>108</v>
      </c>
      <c r="D27" s="139">
        <v>71</v>
      </c>
      <c r="E27" s="140">
        <v>114</v>
      </c>
      <c r="F27" s="141">
        <v>114</v>
      </c>
      <c r="H27" s="210">
        <v>58</v>
      </c>
      <c r="I27" s="211">
        <v>107</v>
      </c>
      <c r="J27" s="212">
        <v>108</v>
      </c>
      <c r="K27" s="216">
        <v>71</v>
      </c>
      <c r="L27" s="217">
        <v>114</v>
      </c>
      <c r="M27" s="212">
        <v>113.5</v>
      </c>
      <c r="N27" s="223">
        <v>76</v>
      </c>
      <c r="O27" s="224">
        <v>59.03</v>
      </c>
      <c r="P27" s="225">
        <v>58.7</v>
      </c>
    </row>
    <row r="28" spans="1:16">
      <c r="A28" s="139">
        <v>56</v>
      </c>
      <c r="B28" s="140">
        <v>106</v>
      </c>
      <c r="C28" s="141">
        <v>107</v>
      </c>
      <c r="D28" s="139">
        <v>69</v>
      </c>
      <c r="E28" s="140">
        <v>113</v>
      </c>
      <c r="F28" s="141">
        <v>112</v>
      </c>
      <c r="H28" s="210">
        <v>56</v>
      </c>
      <c r="I28" s="211">
        <v>106</v>
      </c>
      <c r="J28" s="212">
        <v>107</v>
      </c>
      <c r="K28" s="216">
        <v>69</v>
      </c>
      <c r="L28" s="217">
        <v>113</v>
      </c>
      <c r="M28" s="212">
        <v>112</v>
      </c>
      <c r="N28" s="223">
        <v>75</v>
      </c>
      <c r="O28" s="224">
        <v>58.76</v>
      </c>
      <c r="P28" s="225">
        <v>58.42</v>
      </c>
    </row>
    <row r="29" spans="1:16">
      <c r="A29" s="139">
        <v>54</v>
      </c>
      <c r="B29" s="140">
        <v>105</v>
      </c>
      <c r="C29" s="141">
        <v>106</v>
      </c>
      <c r="D29" s="139">
        <v>67</v>
      </c>
      <c r="E29" s="140">
        <v>112</v>
      </c>
      <c r="F29" s="141">
        <v>110</v>
      </c>
      <c r="H29" s="210">
        <v>54</v>
      </c>
      <c r="I29" s="211">
        <v>105</v>
      </c>
      <c r="J29" s="212">
        <v>106</v>
      </c>
      <c r="K29" s="216">
        <v>67</v>
      </c>
      <c r="L29" s="217">
        <v>112</v>
      </c>
      <c r="M29" s="212">
        <v>110</v>
      </c>
      <c r="N29" s="223">
        <v>74</v>
      </c>
      <c r="O29" s="224">
        <v>58.48</v>
      </c>
      <c r="P29" s="225">
        <v>58.18</v>
      </c>
    </row>
    <row r="30" spans="1:16">
      <c r="A30" s="139">
        <v>52</v>
      </c>
      <c r="B30" s="140">
        <v>104</v>
      </c>
      <c r="C30" s="141">
        <v>105</v>
      </c>
      <c r="D30" s="139">
        <v>66</v>
      </c>
      <c r="E30" s="140">
        <v>111</v>
      </c>
      <c r="F30" s="141">
        <v>109</v>
      </c>
      <c r="H30" s="210">
        <v>52</v>
      </c>
      <c r="I30" s="211">
        <v>104</v>
      </c>
      <c r="J30" s="212">
        <v>105</v>
      </c>
      <c r="K30" s="216">
        <v>66</v>
      </c>
      <c r="L30" s="217">
        <v>111</v>
      </c>
      <c r="M30" s="212">
        <v>109</v>
      </c>
      <c r="N30" s="223">
        <v>73</v>
      </c>
      <c r="O30" s="224">
        <v>58.2</v>
      </c>
      <c r="P30" s="225">
        <v>57.9</v>
      </c>
    </row>
    <row r="31" spans="1:16">
      <c r="A31" s="139">
        <v>50</v>
      </c>
      <c r="B31" s="140">
        <v>103</v>
      </c>
      <c r="C31" s="141">
        <v>104</v>
      </c>
      <c r="D31" s="139">
        <v>64</v>
      </c>
      <c r="E31" s="140">
        <v>110</v>
      </c>
      <c r="F31" s="141">
        <v>107</v>
      </c>
      <c r="H31" s="210">
        <v>50</v>
      </c>
      <c r="I31" s="211">
        <v>103</v>
      </c>
      <c r="J31" s="212">
        <v>104</v>
      </c>
      <c r="K31" s="216">
        <v>64</v>
      </c>
      <c r="L31" s="217">
        <v>110</v>
      </c>
      <c r="M31" s="212">
        <v>106.5</v>
      </c>
      <c r="N31" s="223">
        <v>72</v>
      </c>
      <c r="O31" s="224">
        <v>57.93</v>
      </c>
      <c r="P31" s="225">
        <v>57.61</v>
      </c>
    </row>
    <row r="32" spans="1:16">
      <c r="A32" s="139">
        <v>48</v>
      </c>
      <c r="B32" s="140">
        <v>102</v>
      </c>
      <c r="C32" s="141">
        <v>102.5</v>
      </c>
      <c r="D32" s="139">
        <v>62</v>
      </c>
      <c r="E32" s="140">
        <v>109</v>
      </c>
      <c r="F32" s="141">
        <v>105</v>
      </c>
      <c r="H32" s="210">
        <v>48</v>
      </c>
      <c r="I32" s="211">
        <v>102</v>
      </c>
      <c r="J32" s="212">
        <v>102.5</v>
      </c>
      <c r="K32" s="216">
        <v>62</v>
      </c>
      <c r="L32" s="217">
        <v>109</v>
      </c>
      <c r="M32" s="212">
        <v>105</v>
      </c>
      <c r="N32" s="223">
        <v>71</v>
      </c>
      <c r="O32" s="224">
        <v>57.67</v>
      </c>
      <c r="P32" s="225">
        <v>57.28</v>
      </c>
    </row>
    <row r="33" spans="1:16">
      <c r="A33" s="139">
        <v>47</v>
      </c>
      <c r="B33" s="140">
        <v>101</v>
      </c>
      <c r="C33" s="141">
        <v>102</v>
      </c>
      <c r="D33" s="139">
        <v>61</v>
      </c>
      <c r="E33" s="140">
        <v>108</v>
      </c>
      <c r="F33" s="141">
        <v>104</v>
      </c>
      <c r="H33" s="210">
        <v>47</v>
      </c>
      <c r="I33" s="211">
        <v>101</v>
      </c>
      <c r="J33" s="212">
        <v>102</v>
      </c>
      <c r="K33" s="216">
        <v>61</v>
      </c>
      <c r="L33" s="217">
        <v>108</v>
      </c>
      <c r="M33" s="212">
        <v>104</v>
      </c>
      <c r="N33" s="223">
        <v>70</v>
      </c>
      <c r="O33" s="224">
        <v>57.38</v>
      </c>
      <c r="P33" s="225">
        <v>56.91</v>
      </c>
    </row>
    <row r="34" spans="1:16">
      <c r="A34" s="139">
        <v>45</v>
      </c>
      <c r="B34" s="140">
        <v>100</v>
      </c>
      <c r="C34" s="141">
        <v>101</v>
      </c>
      <c r="D34" s="139">
        <v>59</v>
      </c>
      <c r="E34" s="140">
        <v>107</v>
      </c>
      <c r="F34" s="141">
        <v>102</v>
      </c>
      <c r="H34" s="210">
        <v>45</v>
      </c>
      <c r="I34" s="211">
        <v>100</v>
      </c>
      <c r="J34" s="212">
        <v>101</v>
      </c>
      <c r="K34" s="216">
        <v>59</v>
      </c>
      <c r="L34" s="217">
        <v>107</v>
      </c>
      <c r="M34" s="212">
        <v>102</v>
      </c>
      <c r="N34" s="223">
        <v>69</v>
      </c>
      <c r="O34" s="224">
        <v>57.08</v>
      </c>
      <c r="P34" s="225">
        <v>56.57</v>
      </c>
    </row>
    <row r="35" spans="1:16">
      <c r="A35" s="139">
        <v>43</v>
      </c>
      <c r="B35" s="140">
        <v>99</v>
      </c>
      <c r="C35" s="141">
        <v>100</v>
      </c>
      <c r="D35" s="139">
        <v>57</v>
      </c>
      <c r="E35" s="140">
        <v>106</v>
      </c>
      <c r="F35" s="141">
        <v>100</v>
      </c>
      <c r="H35" s="210">
        <v>43</v>
      </c>
      <c r="I35" s="211">
        <v>99</v>
      </c>
      <c r="J35" s="212">
        <v>100</v>
      </c>
      <c r="K35" s="216">
        <v>57</v>
      </c>
      <c r="L35" s="217">
        <v>106</v>
      </c>
      <c r="M35" s="212">
        <v>100</v>
      </c>
      <c r="N35" s="223">
        <v>68</v>
      </c>
      <c r="O35" s="224">
        <v>56.73</v>
      </c>
      <c r="P35" s="225">
        <v>56.27</v>
      </c>
    </row>
    <row r="36" spans="1:16">
      <c r="A36" s="139">
        <v>42</v>
      </c>
      <c r="B36" s="140">
        <v>98</v>
      </c>
      <c r="C36" s="141">
        <v>99</v>
      </c>
      <c r="D36" s="139">
        <v>55</v>
      </c>
      <c r="E36" s="140">
        <v>105</v>
      </c>
      <c r="F36" s="141">
        <v>99</v>
      </c>
      <c r="H36" s="210">
        <v>42</v>
      </c>
      <c r="I36" s="211">
        <v>98</v>
      </c>
      <c r="J36" s="212">
        <v>99</v>
      </c>
      <c r="K36" s="216">
        <v>55</v>
      </c>
      <c r="L36" s="217">
        <v>105</v>
      </c>
      <c r="M36" s="212">
        <v>99</v>
      </c>
      <c r="N36" s="223">
        <v>67</v>
      </c>
      <c r="O36" s="224">
        <v>56.37</v>
      </c>
      <c r="P36" s="225">
        <v>55.99</v>
      </c>
    </row>
    <row r="37" spans="1:16">
      <c r="A37" s="139">
        <v>40</v>
      </c>
      <c r="B37" s="140">
        <v>97</v>
      </c>
      <c r="C37" s="141">
        <v>98</v>
      </c>
      <c r="D37" s="139">
        <v>54</v>
      </c>
      <c r="E37" s="140">
        <v>104</v>
      </c>
      <c r="F37" s="141">
        <v>98</v>
      </c>
      <c r="H37" s="210">
        <v>40</v>
      </c>
      <c r="I37" s="211">
        <v>97</v>
      </c>
      <c r="J37" s="212">
        <v>98</v>
      </c>
      <c r="K37" s="216">
        <v>54</v>
      </c>
      <c r="L37" s="217">
        <v>104</v>
      </c>
      <c r="M37" s="212">
        <v>98</v>
      </c>
      <c r="N37" s="223">
        <v>66</v>
      </c>
      <c r="O37" s="224">
        <v>56.04</v>
      </c>
      <c r="P37" s="225">
        <v>55.71</v>
      </c>
    </row>
    <row r="38" spans="1:16">
      <c r="A38" s="139">
        <v>38</v>
      </c>
      <c r="B38" s="140">
        <v>96</v>
      </c>
      <c r="C38" s="141">
        <v>97</v>
      </c>
      <c r="D38" s="139">
        <v>52</v>
      </c>
      <c r="E38" s="140">
        <v>103</v>
      </c>
      <c r="F38" s="141">
        <v>96</v>
      </c>
      <c r="H38" s="210">
        <v>38</v>
      </c>
      <c r="I38" s="211">
        <v>96</v>
      </c>
      <c r="J38" s="212">
        <v>97</v>
      </c>
      <c r="K38" s="216">
        <v>52</v>
      </c>
      <c r="L38" s="217">
        <v>103</v>
      </c>
      <c r="M38" s="212">
        <v>96</v>
      </c>
      <c r="N38" s="223">
        <v>65</v>
      </c>
      <c r="O38" s="224">
        <v>55.71</v>
      </c>
      <c r="P38" s="225">
        <v>55.44</v>
      </c>
    </row>
    <row r="39" spans="1:16">
      <c r="A39" s="139">
        <v>37</v>
      </c>
      <c r="B39" s="140">
        <v>95</v>
      </c>
      <c r="C39" s="141">
        <v>96</v>
      </c>
      <c r="D39" s="139">
        <v>51</v>
      </c>
      <c r="E39" s="140">
        <v>102</v>
      </c>
      <c r="F39" s="141">
        <v>95.5</v>
      </c>
      <c r="H39" s="210">
        <v>37</v>
      </c>
      <c r="I39" s="211">
        <v>95</v>
      </c>
      <c r="J39" s="212">
        <v>96</v>
      </c>
      <c r="K39" s="216">
        <v>51</v>
      </c>
      <c r="L39" s="217">
        <v>102</v>
      </c>
      <c r="M39" s="212">
        <v>95.5</v>
      </c>
      <c r="N39" s="223">
        <v>64</v>
      </c>
      <c r="O39" s="224">
        <v>55.4</v>
      </c>
      <c r="P39" s="225">
        <v>55.15</v>
      </c>
    </row>
    <row r="40" spans="1:16">
      <c r="A40" s="139">
        <v>35</v>
      </c>
      <c r="B40" s="140">
        <v>94</v>
      </c>
      <c r="C40" s="141">
        <v>95</v>
      </c>
      <c r="D40" s="139">
        <v>49</v>
      </c>
      <c r="E40" s="140">
        <v>101</v>
      </c>
      <c r="F40" s="141">
        <v>94</v>
      </c>
      <c r="H40" s="210">
        <v>35</v>
      </c>
      <c r="I40" s="211">
        <v>94</v>
      </c>
      <c r="J40" s="212">
        <v>95</v>
      </c>
      <c r="K40" s="216">
        <v>49</v>
      </c>
      <c r="L40" s="217">
        <v>101</v>
      </c>
      <c r="M40" s="212">
        <v>94</v>
      </c>
      <c r="N40" s="223">
        <v>63</v>
      </c>
      <c r="O40" s="224">
        <v>55.09</v>
      </c>
      <c r="P40" s="225">
        <v>54.85</v>
      </c>
    </row>
    <row r="41" spans="1:16">
      <c r="A41" s="139">
        <v>34</v>
      </c>
      <c r="B41" s="140">
        <v>93</v>
      </c>
      <c r="C41" s="141">
        <v>94</v>
      </c>
      <c r="D41" s="139">
        <v>47</v>
      </c>
      <c r="E41" s="140">
        <v>100</v>
      </c>
      <c r="F41" s="141">
        <v>93</v>
      </c>
      <c r="H41" s="210">
        <v>34</v>
      </c>
      <c r="I41" s="211">
        <v>93</v>
      </c>
      <c r="J41" s="212">
        <v>94</v>
      </c>
      <c r="K41" s="216">
        <v>47</v>
      </c>
      <c r="L41" s="217">
        <v>100</v>
      </c>
      <c r="M41" s="212">
        <v>93</v>
      </c>
      <c r="N41" s="223">
        <v>62</v>
      </c>
      <c r="O41" s="224">
        <v>54.79</v>
      </c>
      <c r="P41" s="225">
        <v>54.59</v>
      </c>
    </row>
    <row r="42" spans="1:16">
      <c r="A42" s="139">
        <v>32</v>
      </c>
      <c r="B42" s="140">
        <v>92</v>
      </c>
      <c r="C42" s="141">
        <v>93</v>
      </c>
      <c r="D42" s="139">
        <v>46</v>
      </c>
      <c r="E42" s="140">
        <v>99</v>
      </c>
      <c r="F42" s="141">
        <v>92.5</v>
      </c>
      <c r="H42" s="210">
        <v>32</v>
      </c>
      <c r="I42" s="211">
        <v>92</v>
      </c>
      <c r="J42" s="212">
        <v>93</v>
      </c>
      <c r="K42" s="216">
        <v>46</v>
      </c>
      <c r="L42" s="217">
        <v>99</v>
      </c>
      <c r="M42" s="212">
        <v>92.5</v>
      </c>
      <c r="N42" s="223">
        <v>61</v>
      </c>
      <c r="O42" s="224">
        <v>54.51</v>
      </c>
      <c r="P42" s="225">
        <v>54.26</v>
      </c>
    </row>
    <row r="43" spans="1:16">
      <c r="A43" s="139">
        <v>31</v>
      </c>
      <c r="B43" s="140">
        <v>91</v>
      </c>
      <c r="C43" s="141">
        <v>92</v>
      </c>
      <c r="D43" s="139">
        <v>45</v>
      </c>
      <c r="E43" s="140">
        <v>98</v>
      </c>
      <c r="F43" s="141">
        <v>92</v>
      </c>
      <c r="H43" s="210">
        <v>31</v>
      </c>
      <c r="I43" s="211">
        <v>91</v>
      </c>
      <c r="J43" s="212">
        <v>92</v>
      </c>
      <c r="K43" s="216">
        <v>45</v>
      </c>
      <c r="L43" s="217">
        <v>98</v>
      </c>
      <c r="M43" s="212">
        <v>92</v>
      </c>
      <c r="N43" s="223">
        <v>60</v>
      </c>
      <c r="O43" s="224">
        <v>54.21</v>
      </c>
      <c r="P43" s="225">
        <v>53.92</v>
      </c>
    </row>
    <row r="44" spans="1:16">
      <c r="A44" s="139">
        <v>30</v>
      </c>
      <c r="B44" s="140">
        <v>90</v>
      </c>
      <c r="C44" s="141">
        <v>91</v>
      </c>
      <c r="D44" s="139">
        <v>43</v>
      </c>
      <c r="E44" s="140">
        <v>97</v>
      </c>
      <c r="F44" s="141">
        <v>90.5</v>
      </c>
      <c r="H44" s="210">
        <v>30</v>
      </c>
      <c r="I44" s="211">
        <v>90</v>
      </c>
      <c r="J44" s="212">
        <v>91</v>
      </c>
      <c r="K44" s="216">
        <v>43</v>
      </c>
      <c r="L44" s="217">
        <v>97</v>
      </c>
      <c r="M44" s="212">
        <v>90.5</v>
      </c>
      <c r="N44" s="223">
        <v>59</v>
      </c>
      <c r="O44" s="224">
        <v>53.86</v>
      </c>
      <c r="P44" s="225">
        <v>53.54</v>
      </c>
    </row>
    <row r="45" spans="1:16">
      <c r="A45" s="139">
        <v>28</v>
      </c>
      <c r="B45" s="140">
        <v>89</v>
      </c>
      <c r="C45" s="141">
        <v>90</v>
      </c>
      <c r="D45" s="139">
        <v>41</v>
      </c>
      <c r="E45" s="140">
        <v>96</v>
      </c>
      <c r="F45" s="141">
        <v>89.5</v>
      </c>
      <c r="H45" s="210">
        <v>28</v>
      </c>
      <c r="I45" s="211">
        <v>89</v>
      </c>
      <c r="J45" s="212">
        <v>90</v>
      </c>
      <c r="K45" s="216">
        <v>41</v>
      </c>
      <c r="L45" s="217">
        <v>96</v>
      </c>
      <c r="M45" s="212">
        <v>89.5</v>
      </c>
      <c r="N45" s="223">
        <v>58</v>
      </c>
      <c r="O45" s="224">
        <v>53.54</v>
      </c>
      <c r="P45" s="225">
        <v>53.21</v>
      </c>
    </row>
    <row r="46" spans="1:16">
      <c r="A46" s="139">
        <v>27</v>
      </c>
      <c r="B46" s="140">
        <v>88</v>
      </c>
      <c r="C46" s="141">
        <v>89</v>
      </c>
      <c r="D46" s="139">
        <v>40</v>
      </c>
      <c r="E46" s="140">
        <v>95</v>
      </c>
      <c r="F46" s="141">
        <v>89</v>
      </c>
      <c r="H46" s="210">
        <v>27</v>
      </c>
      <c r="I46" s="211">
        <v>88</v>
      </c>
      <c r="J46" s="212">
        <v>89</v>
      </c>
      <c r="K46" s="216">
        <v>40</v>
      </c>
      <c r="L46" s="217">
        <v>95</v>
      </c>
      <c r="M46" s="212">
        <v>89</v>
      </c>
      <c r="N46" s="223">
        <v>57</v>
      </c>
      <c r="O46" s="224">
        <v>53.2</v>
      </c>
      <c r="P46" s="225">
        <v>52.88</v>
      </c>
    </row>
    <row r="47" spans="1:16">
      <c r="A47" s="139">
        <v>26</v>
      </c>
      <c r="B47" s="140">
        <v>87</v>
      </c>
      <c r="C47" s="141">
        <v>88</v>
      </c>
      <c r="D47" s="139">
        <v>39</v>
      </c>
      <c r="E47" s="140">
        <v>94</v>
      </c>
      <c r="F47" s="141">
        <v>88.5</v>
      </c>
      <c r="H47" s="210">
        <v>26</v>
      </c>
      <c r="I47" s="211">
        <v>87</v>
      </c>
      <c r="J47" s="212">
        <v>88</v>
      </c>
      <c r="K47" s="216">
        <v>39</v>
      </c>
      <c r="L47" s="217">
        <v>94</v>
      </c>
      <c r="M47" s="212">
        <v>88.5</v>
      </c>
      <c r="N47" s="223">
        <v>56</v>
      </c>
      <c r="O47" s="224">
        <v>52.84</v>
      </c>
      <c r="P47" s="225">
        <v>52.54</v>
      </c>
    </row>
    <row r="48" spans="1:16">
      <c r="A48" s="139">
        <v>25</v>
      </c>
      <c r="B48" s="140">
        <v>86</v>
      </c>
      <c r="C48" s="141">
        <v>87</v>
      </c>
      <c r="D48" s="139">
        <v>38</v>
      </c>
      <c r="E48" s="140">
        <v>93</v>
      </c>
      <c r="F48" s="141">
        <v>88</v>
      </c>
      <c r="H48" s="210">
        <v>25</v>
      </c>
      <c r="I48" s="211">
        <v>86</v>
      </c>
      <c r="J48" s="212">
        <v>87</v>
      </c>
      <c r="K48" s="216">
        <v>38</v>
      </c>
      <c r="L48" s="217">
        <v>93</v>
      </c>
      <c r="M48" s="212">
        <v>88</v>
      </c>
      <c r="N48" s="223">
        <v>55</v>
      </c>
      <c r="O48" s="224">
        <v>52.51</v>
      </c>
      <c r="P48" s="225">
        <v>52.21</v>
      </c>
    </row>
    <row r="49" spans="1:16">
      <c r="A49" s="139">
        <v>23</v>
      </c>
      <c r="B49" s="140">
        <v>85</v>
      </c>
      <c r="C49" s="141">
        <v>86</v>
      </c>
      <c r="D49" s="139">
        <v>36</v>
      </c>
      <c r="E49" s="140">
        <v>92</v>
      </c>
      <c r="F49" s="141">
        <v>87</v>
      </c>
      <c r="H49" s="210">
        <v>23</v>
      </c>
      <c r="I49" s="211">
        <v>85</v>
      </c>
      <c r="J49" s="212">
        <v>86</v>
      </c>
      <c r="K49" s="216">
        <v>36</v>
      </c>
      <c r="L49" s="217">
        <v>92</v>
      </c>
      <c r="M49" s="212">
        <v>87</v>
      </c>
      <c r="N49" s="223">
        <v>54</v>
      </c>
      <c r="O49" s="224">
        <v>52.12</v>
      </c>
      <c r="P49" s="225">
        <v>51.84</v>
      </c>
    </row>
    <row r="50" spans="1:16">
      <c r="A50" s="139">
        <v>22</v>
      </c>
      <c r="B50" s="140">
        <v>84</v>
      </c>
      <c r="C50" s="141">
        <v>85</v>
      </c>
      <c r="D50" s="139">
        <v>35</v>
      </c>
      <c r="E50" s="140">
        <v>91</v>
      </c>
      <c r="F50" s="141">
        <v>86.66</v>
      </c>
      <c r="H50" s="210">
        <v>22</v>
      </c>
      <c r="I50" s="211">
        <v>84</v>
      </c>
      <c r="J50" s="212">
        <v>85</v>
      </c>
      <c r="K50" s="216">
        <v>35</v>
      </c>
      <c r="L50" s="217">
        <v>91</v>
      </c>
      <c r="M50" s="212">
        <v>86.67</v>
      </c>
      <c r="N50" s="223">
        <v>53</v>
      </c>
      <c r="O50" s="224">
        <v>51.73</v>
      </c>
      <c r="P50" s="225">
        <v>51.46</v>
      </c>
    </row>
    <row r="51" spans="1:16">
      <c r="A51" s="139">
        <v>21</v>
      </c>
      <c r="B51" s="140">
        <v>83</v>
      </c>
      <c r="C51" s="141">
        <v>84</v>
      </c>
      <c r="D51" s="139">
        <v>34</v>
      </c>
      <c r="E51" s="140">
        <v>90</v>
      </c>
      <c r="F51" s="141">
        <v>86.33</v>
      </c>
      <c r="H51" s="210">
        <v>21</v>
      </c>
      <c r="I51" s="211">
        <v>83</v>
      </c>
      <c r="J51" s="212">
        <v>84</v>
      </c>
      <c r="K51" s="216">
        <v>34</v>
      </c>
      <c r="L51" s="217">
        <v>90</v>
      </c>
      <c r="M51" s="212">
        <v>86.33</v>
      </c>
      <c r="N51" s="223">
        <v>52</v>
      </c>
      <c r="O51" s="224">
        <v>51.35</v>
      </c>
      <c r="P51" s="225">
        <v>51.08</v>
      </c>
    </row>
    <row r="52" spans="1:16">
      <c r="A52" s="139">
        <v>20</v>
      </c>
      <c r="B52" s="140">
        <v>82</v>
      </c>
      <c r="C52" s="141">
        <v>83</v>
      </c>
      <c r="D52" s="139">
        <v>33</v>
      </c>
      <c r="E52" s="140">
        <v>89</v>
      </c>
      <c r="F52" s="141">
        <v>86</v>
      </c>
      <c r="H52" s="210">
        <v>20</v>
      </c>
      <c r="I52" s="211">
        <v>82</v>
      </c>
      <c r="J52" s="212">
        <v>83</v>
      </c>
      <c r="K52" s="216">
        <v>33</v>
      </c>
      <c r="L52" s="217">
        <v>89</v>
      </c>
      <c r="M52" s="212">
        <v>86</v>
      </c>
      <c r="N52" s="223">
        <v>51</v>
      </c>
      <c r="O52" s="224">
        <v>50.93</v>
      </c>
      <c r="P52" s="225">
        <v>50.73</v>
      </c>
    </row>
    <row r="53" spans="1:16">
      <c r="A53" s="139">
        <v>19</v>
      </c>
      <c r="B53" s="140">
        <v>81</v>
      </c>
      <c r="C53" s="141">
        <v>82</v>
      </c>
      <c r="D53" s="139">
        <v>32</v>
      </c>
      <c r="E53" s="140">
        <v>88</v>
      </c>
      <c r="F53" s="141">
        <v>85.5</v>
      </c>
      <c r="H53" s="210">
        <v>19</v>
      </c>
      <c r="I53" s="211">
        <v>81</v>
      </c>
      <c r="J53" s="212">
        <v>82</v>
      </c>
      <c r="K53" s="216">
        <v>32</v>
      </c>
      <c r="L53" s="217">
        <v>88</v>
      </c>
      <c r="M53" s="212">
        <v>85.5</v>
      </c>
      <c r="N53" s="223">
        <v>50</v>
      </c>
      <c r="O53" s="224">
        <v>50.54</v>
      </c>
      <c r="P53" s="225">
        <v>50.34</v>
      </c>
    </row>
    <row r="54" spans="1:16">
      <c r="A54" s="139">
        <v>18</v>
      </c>
      <c r="B54" s="140">
        <v>80</v>
      </c>
      <c r="C54" s="141">
        <v>81</v>
      </c>
      <c r="D54" s="139">
        <v>30</v>
      </c>
      <c r="E54" s="140">
        <v>87</v>
      </c>
      <c r="F54" s="141">
        <v>84.5</v>
      </c>
      <c r="H54" s="210">
        <v>18</v>
      </c>
      <c r="I54" s="211">
        <v>80</v>
      </c>
      <c r="J54" s="212">
        <v>81</v>
      </c>
      <c r="K54" s="216">
        <v>30</v>
      </c>
      <c r="L54" s="217">
        <v>87</v>
      </c>
      <c r="M54" s="212">
        <v>84.5</v>
      </c>
      <c r="N54" s="223">
        <v>49</v>
      </c>
      <c r="O54" s="224">
        <v>50.17</v>
      </c>
      <c r="P54" s="225">
        <v>49.96</v>
      </c>
    </row>
    <row r="55" spans="1:16">
      <c r="A55" s="139">
        <v>17</v>
      </c>
      <c r="B55" s="140">
        <v>79</v>
      </c>
      <c r="C55" s="141">
        <v>79</v>
      </c>
      <c r="D55" s="139">
        <v>29</v>
      </c>
      <c r="E55" s="140">
        <v>86</v>
      </c>
      <c r="F55" s="141">
        <v>84</v>
      </c>
      <c r="H55" s="210">
        <v>17</v>
      </c>
      <c r="I55" s="211">
        <v>79</v>
      </c>
      <c r="J55" s="212">
        <v>79</v>
      </c>
      <c r="K55" s="216">
        <v>29</v>
      </c>
      <c r="L55" s="217">
        <v>86</v>
      </c>
      <c r="M55" s="212">
        <v>84</v>
      </c>
      <c r="N55" s="223">
        <v>48</v>
      </c>
      <c r="O55" s="224">
        <v>49.82</v>
      </c>
      <c r="P55" s="225">
        <v>49.6</v>
      </c>
    </row>
    <row r="56" spans="1:16">
      <c r="A56" s="139">
        <v>16</v>
      </c>
      <c r="B56" s="140">
        <v>78</v>
      </c>
      <c r="C56" s="141">
        <v>78</v>
      </c>
      <c r="D56" s="139">
        <v>28</v>
      </c>
      <c r="E56" s="140">
        <v>85</v>
      </c>
      <c r="F56" s="141">
        <v>83.66</v>
      </c>
      <c r="H56" s="210">
        <v>16</v>
      </c>
      <c r="I56" s="211">
        <v>78</v>
      </c>
      <c r="J56" s="212">
        <v>78</v>
      </c>
      <c r="K56" s="216">
        <v>28</v>
      </c>
      <c r="L56" s="217">
        <v>85</v>
      </c>
      <c r="M56" s="212">
        <v>83.67</v>
      </c>
      <c r="N56" s="223">
        <v>47</v>
      </c>
      <c r="O56" s="224">
        <v>49.42</v>
      </c>
      <c r="P56" s="225">
        <v>49.23</v>
      </c>
    </row>
    <row r="57" spans="1:16">
      <c r="A57" s="139">
        <v>15</v>
      </c>
      <c r="B57" s="140">
        <v>77</v>
      </c>
      <c r="C57" s="141">
        <v>77</v>
      </c>
      <c r="D57" s="139">
        <v>27</v>
      </c>
      <c r="E57" s="140">
        <v>84</v>
      </c>
      <c r="F57" s="141">
        <v>83.33</v>
      </c>
      <c r="H57" s="210">
        <v>15</v>
      </c>
      <c r="I57" s="211">
        <v>77</v>
      </c>
      <c r="J57" s="212">
        <v>77</v>
      </c>
      <c r="K57" s="216">
        <v>27</v>
      </c>
      <c r="L57" s="217">
        <v>84</v>
      </c>
      <c r="M57" s="212">
        <v>83.33</v>
      </c>
      <c r="N57" s="223">
        <v>46</v>
      </c>
      <c r="O57" s="224">
        <v>48.99</v>
      </c>
      <c r="P57" s="225">
        <v>48.82</v>
      </c>
    </row>
    <row r="58" spans="1:16">
      <c r="A58" s="139">
        <v>14</v>
      </c>
      <c r="B58" s="140">
        <v>76</v>
      </c>
      <c r="C58" s="141">
        <v>76</v>
      </c>
      <c r="D58" s="139">
        <v>26</v>
      </c>
      <c r="E58" s="140">
        <v>83</v>
      </c>
      <c r="F58" s="141">
        <v>83</v>
      </c>
      <c r="H58" s="210">
        <v>14</v>
      </c>
      <c r="I58" s="211">
        <v>76</v>
      </c>
      <c r="J58" s="212">
        <v>76</v>
      </c>
      <c r="K58" s="216">
        <v>26</v>
      </c>
      <c r="L58" s="217">
        <v>83</v>
      </c>
      <c r="M58" s="212">
        <v>83</v>
      </c>
      <c r="N58" s="223">
        <v>45</v>
      </c>
      <c r="O58" s="224">
        <v>48.62</v>
      </c>
      <c r="P58" s="225">
        <v>48.44</v>
      </c>
    </row>
    <row r="59" spans="1:16">
      <c r="A59" s="139">
        <v>14</v>
      </c>
      <c r="B59" s="140">
        <v>75</v>
      </c>
      <c r="C59" s="141">
        <v>75</v>
      </c>
      <c r="D59" s="139">
        <v>24</v>
      </c>
      <c r="E59" s="140">
        <v>82</v>
      </c>
      <c r="F59" s="141">
        <v>82.5</v>
      </c>
      <c r="H59" s="210">
        <v>14</v>
      </c>
      <c r="I59" s="211">
        <v>75</v>
      </c>
      <c r="J59" s="212">
        <v>75</v>
      </c>
      <c r="K59" s="216">
        <v>24</v>
      </c>
      <c r="L59" s="217">
        <v>82</v>
      </c>
      <c r="M59" s="212">
        <v>82.5</v>
      </c>
      <c r="N59" s="223">
        <v>44</v>
      </c>
      <c r="O59" s="224">
        <v>48.28</v>
      </c>
      <c r="P59" s="225">
        <v>48.04</v>
      </c>
    </row>
    <row r="60" spans="1:16">
      <c r="A60" s="139">
        <v>13</v>
      </c>
      <c r="B60" s="140">
        <v>74</v>
      </c>
      <c r="C60" s="141">
        <v>74</v>
      </c>
      <c r="D60" s="139">
        <v>23</v>
      </c>
      <c r="E60" s="140">
        <v>81</v>
      </c>
      <c r="F60" s="141">
        <v>82.25</v>
      </c>
      <c r="H60" s="210">
        <v>13</v>
      </c>
      <c r="I60" s="211">
        <v>74</v>
      </c>
      <c r="J60" s="212">
        <v>74</v>
      </c>
      <c r="K60" s="216">
        <v>23</v>
      </c>
      <c r="L60" s="217">
        <v>81</v>
      </c>
      <c r="M60" s="212">
        <v>82.25</v>
      </c>
      <c r="N60" s="223">
        <v>43</v>
      </c>
      <c r="O60" s="224">
        <v>47.87</v>
      </c>
      <c r="P60" s="225">
        <v>47.68</v>
      </c>
    </row>
    <row r="61" spans="1:16">
      <c r="A61" s="139">
        <v>12</v>
      </c>
      <c r="B61" s="140">
        <v>73</v>
      </c>
      <c r="C61" s="141">
        <v>73</v>
      </c>
      <c r="D61" s="139">
        <v>22</v>
      </c>
      <c r="E61" s="140">
        <v>80</v>
      </c>
      <c r="F61" s="141">
        <v>82</v>
      </c>
      <c r="H61" s="210">
        <v>12</v>
      </c>
      <c r="I61" s="211">
        <v>73</v>
      </c>
      <c r="J61" s="212">
        <v>73</v>
      </c>
      <c r="K61" s="216">
        <v>22</v>
      </c>
      <c r="L61" s="217">
        <v>80</v>
      </c>
      <c r="M61" s="212">
        <v>82</v>
      </c>
      <c r="N61" s="231">
        <v>42</v>
      </c>
      <c r="O61" s="224">
        <v>47.48</v>
      </c>
      <c r="P61" s="225">
        <v>47.29</v>
      </c>
    </row>
    <row r="62" spans="1:16">
      <c r="A62" s="139">
        <v>11</v>
      </c>
      <c r="B62" s="140">
        <v>72</v>
      </c>
      <c r="C62" s="141">
        <v>72</v>
      </c>
      <c r="D62" s="139">
        <v>20</v>
      </c>
      <c r="E62" s="140">
        <v>79</v>
      </c>
      <c r="F62" s="141">
        <v>81</v>
      </c>
      <c r="H62" s="210">
        <v>11</v>
      </c>
      <c r="I62" s="211">
        <v>72</v>
      </c>
      <c r="J62" s="212">
        <v>72</v>
      </c>
      <c r="K62" s="216">
        <v>20</v>
      </c>
      <c r="L62" s="217">
        <v>79</v>
      </c>
      <c r="M62" s="212">
        <v>81</v>
      </c>
      <c r="N62" s="223">
        <v>41</v>
      </c>
      <c r="O62" s="224">
        <v>47.13</v>
      </c>
      <c r="P62" s="225">
        <v>46.91</v>
      </c>
    </row>
    <row r="63" spans="1:16">
      <c r="A63" s="139">
        <v>11</v>
      </c>
      <c r="B63" s="140">
        <v>71</v>
      </c>
      <c r="C63" s="141">
        <v>71</v>
      </c>
      <c r="D63" s="139">
        <v>19</v>
      </c>
      <c r="E63" s="140">
        <v>78</v>
      </c>
      <c r="F63" s="141">
        <v>80.5</v>
      </c>
      <c r="H63" s="210">
        <v>11</v>
      </c>
      <c r="I63" s="211">
        <v>71</v>
      </c>
      <c r="J63" s="212">
        <v>71</v>
      </c>
      <c r="K63" s="216">
        <v>19</v>
      </c>
      <c r="L63" s="217">
        <v>78</v>
      </c>
      <c r="M63" s="212">
        <v>80.5</v>
      </c>
      <c r="N63" s="223">
        <v>40</v>
      </c>
      <c r="O63" s="224">
        <v>46.78</v>
      </c>
      <c r="P63" s="225">
        <v>46.54</v>
      </c>
    </row>
    <row r="64" spans="1:16">
      <c r="A64" s="139">
        <v>10</v>
      </c>
      <c r="B64" s="140">
        <v>70</v>
      </c>
      <c r="C64" s="141">
        <v>70</v>
      </c>
      <c r="D64" s="139">
        <v>18</v>
      </c>
      <c r="E64" s="140">
        <v>77</v>
      </c>
      <c r="F64" s="141">
        <v>80</v>
      </c>
      <c r="H64" s="210">
        <v>10</v>
      </c>
      <c r="I64" s="211">
        <v>70</v>
      </c>
      <c r="J64" s="212">
        <v>70</v>
      </c>
      <c r="K64" s="216">
        <v>18</v>
      </c>
      <c r="L64" s="217">
        <v>77</v>
      </c>
      <c r="M64" s="212">
        <v>80</v>
      </c>
      <c r="N64" s="223">
        <v>39</v>
      </c>
      <c r="O64" s="224">
        <v>46.46</v>
      </c>
      <c r="P64" s="225">
        <v>46.2</v>
      </c>
    </row>
    <row r="65" spans="1:16">
      <c r="A65" s="139">
        <v>9</v>
      </c>
      <c r="B65" s="140">
        <v>69</v>
      </c>
      <c r="C65" s="141">
        <v>69</v>
      </c>
      <c r="D65" s="139">
        <v>16</v>
      </c>
      <c r="E65" s="140">
        <v>76</v>
      </c>
      <c r="F65" s="141">
        <v>79.33</v>
      </c>
      <c r="H65" s="210">
        <v>9</v>
      </c>
      <c r="I65" s="211">
        <v>69</v>
      </c>
      <c r="J65" s="212">
        <v>69</v>
      </c>
      <c r="K65" s="216">
        <v>16</v>
      </c>
      <c r="L65" s="217">
        <v>76</v>
      </c>
      <c r="M65" s="212">
        <v>79.33</v>
      </c>
      <c r="N65" s="223">
        <v>38</v>
      </c>
      <c r="O65" s="224">
        <v>46.08</v>
      </c>
      <c r="P65" s="225">
        <v>45.83</v>
      </c>
    </row>
    <row r="66" spans="1:16">
      <c r="A66" s="139">
        <v>9</v>
      </c>
      <c r="B66" s="140">
        <v>68</v>
      </c>
      <c r="C66" s="141">
        <v>68</v>
      </c>
      <c r="D66" s="139">
        <v>15</v>
      </c>
      <c r="E66" s="140">
        <v>75</v>
      </c>
      <c r="F66" s="141">
        <v>79</v>
      </c>
      <c r="H66" s="210">
        <v>9</v>
      </c>
      <c r="I66" s="211">
        <v>68</v>
      </c>
      <c r="J66" s="212">
        <v>68</v>
      </c>
      <c r="K66" s="216">
        <v>15</v>
      </c>
      <c r="L66" s="217">
        <v>75</v>
      </c>
      <c r="M66" s="212">
        <v>79</v>
      </c>
      <c r="N66" s="223">
        <v>37</v>
      </c>
      <c r="O66" s="224">
        <v>45.69</v>
      </c>
      <c r="P66" s="225">
        <v>45.48</v>
      </c>
    </row>
    <row r="67" spans="1:16">
      <c r="A67" s="139">
        <v>8</v>
      </c>
      <c r="B67" s="140">
        <v>67</v>
      </c>
      <c r="C67" s="141">
        <v>67</v>
      </c>
      <c r="D67" s="139">
        <v>14</v>
      </c>
      <c r="E67" s="140">
        <v>74</v>
      </c>
      <c r="F67" s="141">
        <v>78.66</v>
      </c>
      <c r="H67" s="210">
        <v>8</v>
      </c>
      <c r="I67" s="211">
        <v>67</v>
      </c>
      <c r="J67" s="212">
        <v>67</v>
      </c>
      <c r="K67" s="216">
        <v>14</v>
      </c>
      <c r="L67" s="217">
        <v>74</v>
      </c>
      <c r="M67" s="212">
        <v>78.67</v>
      </c>
      <c r="N67" s="223">
        <v>36</v>
      </c>
      <c r="O67" s="224">
        <v>45.32</v>
      </c>
      <c r="P67" s="225">
        <v>45.04</v>
      </c>
    </row>
    <row r="68" spans="1:16">
      <c r="A68" s="139">
        <v>8</v>
      </c>
      <c r="B68" s="140">
        <v>66</v>
      </c>
      <c r="C68" s="141">
        <v>66.5</v>
      </c>
      <c r="D68" s="139">
        <v>12</v>
      </c>
      <c r="E68" s="140">
        <v>73</v>
      </c>
      <c r="F68" s="141">
        <v>78</v>
      </c>
      <c r="H68" s="210">
        <v>8</v>
      </c>
      <c r="I68" s="211">
        <v>66</v>
      </c>
      <c r="J68" s="212">
        <v>66.5</v>
      </c>
      <c r="K68" s="216">
        <v>12</v>
      </c>
      <c r="L68" s="217">
        <v>73</v>
      </c>
      <c r="M68" s="212">
        <v>78</v>
      </c>
      <c r="N68" s="223">
        <v>35</v>
      </c>
      <c r="O68" s="224">
        <v>44.96</v>
      </c>
      <c r="P68" s="225">
        <v>44.71</v>
      </c>
    </row>
    <row r="69" spans="1:16">
      <c r="A69" s="139">
        <v>7</v>
      </c>
      <c r="B69" s="140">
        <v>65</v>
      </c>
      <c r="C69" s="141">
        <v>66</v>
      </c>
      <c r="D69" s="139">
        <v>11</v>
      </c>
      <c r="E69" s="140">
        <v>72</v>
      </c>
      <c r="F69" s="141">
        <v>77.5</v>
      </c>
      <c r="H69" s="210">
        <v>7</v>
      </c>
      <c r="I69" s="211">
        <v>65</v>
      </c>
      <c r="J69" s="212">
        <v>66</v>
      </c>
      <c r="K69" s="216">
        <v>11</v>
      </c>
      <c r="L69" s="217">
        <v>72</v>
      </c>
      <c r="M69" s="212">
        <v>77.5</v>
      </c>
      <c r="N69" s="223">
        <v>34</v>
      </c>
      <c r="O69" s="224">
        <v>44.6</v>
      </c>
      <c r="P69" s="225">
        <v>44.39</v>
      </c>
    </row>
    <row r="70" spans="1:16">
      <c r="A70" s="139">
        <v>6</v>
      </c>
      <c r="B70" s="140">
        <v>64</v>
      </c>
      <c r="C70" s="141">
        <v>64</v>
      </c>
      <c r="D70" s="139">
        <v>9</v>
      </c>
      <c r="E70" s="140">
        <v>71</v>
      </c>
      <c r="F70" s="141">
        <v>76.66</v>
      </c>
      <c r="H70" s="210">
        <v>6</v>
      </c>
      <c r="I70" s="211">
        <v>64</v>
      </c>
      <c r="J70" s="212">
        <v>64</v>
      </c>
      <c r="K70" s="216">
        <v>9</v>
      </c>
      <c r="L70" s="217">
        <v>71</v>
      </c>
      <c r="M70" s="212">
        <v>76.67</v>
      </c>
      <c r="N70" s="223">
        <v>33</v>
      </c>
      <c r="O70" s="224">
        <v>44.23</v>
      </c>
      <c r="P70" s="225">
        <v>44.07</v>
      </c>
    </row>
    <row r="71" spans="1:16">
      <c r="A71" s="139">
        <v>5</v>
      </c>
      <c r="B71" s="140">
        <v>63</v>
      </c>
      <c r="C71" s="141">
        <v>62</v>
      </c>
      <c r="D71" s="139">
        <v>8</v>
      </c>
      <c r="E71" s="140">
        <v>70</v>
      </c>
      <c r="F71" s="141">
        <v>76.33</v>
      </c>
      <c r="H71" s="210">
        <v>5</v>
      </c>
      <c r="I71" s="211">
        <v>63</v>
      </c>
      <c r="J71" s="212">
        <v>62</v>
      </c>
      <c r="K71" s="216">
        <v>8</v>
      </c>
      <c r="L71" s="217">
        <v>70</v>
      </c>
      <c r="M71" s="212">
        <v>76.33</v>
      </c>
      <c r="N71" s="223">
        <v>32</v>
      </c>
      <c r="O71" s="224">
        <v>43.9</v>
      </c>
      <c r="P71" s="225">
        <v>43.78</v>
      </c>
    </row>
    <row r="72" spans="1:16">
      <c r="A72" s="139">
        <v>5</v>
      </c>
      <c r="B72" s="140">
        <v>62</v>
      </c>
      <c r="C72" s="141">
        <v>61.33</v>
      </c>
      <c r="D72" s="139">
        <v>6</v>
      </c>
      <c r="E72" s="140">
        <v>69</v>
      </c>
      <c r="F72" s="141">
        <v>75.5</v>
      </c>
      <c r="H72" s="210">
        <v>5</v>
      </c>
      <c r="I72" s="211">
        <v>62</v>
      </c>
      <c r="J72" s="212">
        <v>61.33</v>
      </c>
      <c r="K72" s="216">
        <v>6</v>
      </c>
      <c r="L72" s="217">
        <v>69</v>
      </c>
      <c r="M72" s="212">
        <v>75.5</v>
      </c>
      <c r="N72" s="223">
        <v>31</v>
      </c>
      <c r="O72" s="224">
        <v>43.57</v>
      </c>
      <c r="P72" s="225">
        <v>43.49</v>
      </c>
    </row>
    <row r="73" spans="1:16">
      <c r="A73" s="139">
        <v>5</v>
      </c>
      <c r="B73" s="140">
        <v>61</v>
      </c>
      <c r="C73" s="141">
        <v>60.66</v>
      </c>
      <c r="D73" s="139">
        <v>5</v>
      </c>
      <c r="E73" s="140">
        <v>68</v>
      </c>
      <c r="F73" s="141">
        <v>75</v>
      </c>
      <c r="H73" s="210">
        <v>5</v>
      </c>
      <c r="I73" s="211">
        <v>61</v>
      </c>
      <c r="J73" s="212">
        <v>60.67</v>
      </c>
      <c r="K73" s="216">
        <v>5</v>
      </c>
      <c r="L73" s="217">
        <v>68</v>
      </c>
      <c r="M73" s="212">
        <v>75</v>
      </c>
      <c r="N73" s="223">
        <v>30</v>
      </c>
      <c r="O73" s="224">
        <v>43.26</v>
      </c>
      <c r="P73" s="225">
        <v>43.17</v>
      </c>
    </row>
    <row r="74" spans="1:16">
      <c r="A74" s="139">
        <v>4</v>
      </c>
      <c r="B74" s="140">
        <v>60</v>
      </c>
      <c r="C74" s="141">
        <v>60</v>
      </c>
      <c r="D74" s="139">
        <v>4</v>
      </c>
      <c r="E74" s="140">
        <v>67</v>
      </c>
      <c r="F74" s="141">
        <v>74.5</v>
      </c>
      <c r="H74" s="210">
        <v>4</v>
      </c>
      <c r="I74" s="211">
        <v>60</v>
      </c>
      <c r="J74" s="212">
        <v>60</v>
      </c>
      <c r="K74" s="216">
        <v>4</v>
      </c>
      <c r="L74" s="217">
        <v>67</v>
      </c>
      <c r="M74" s="212">
        <v>74.5</v>
      </c>
      <c r="N74" s="223">
        <v>29</v>
      </c>
      <c r="O74" s="224">
        <v>42.97</v>
      </c>
      <c r="P74" s="225">
        <v>42.81</v>
      </c>
    </row>
    <row r="75" spans="1:16">
      <c r="A75" s="139">
        <v>4</v>
      </c>
      <c r="B75" s="140">
        <v>59</v>
      </c>
      <c r="C75" s="141">
        <v>58.5</v>
      </c>
      <c r="D75" s="139">
        <v>3</v>
      </c>
      <c r="E75" s="140">
        <v>66</v>
      </c>
      <c r="F75" s="141">
        <v>74</v>
      </c>
      <c r="H75" s="210">
        <v>4</v>
      </c>
      <c r="I75" s="211">
        <v>59</v>
      </c>
      <c r="J75" s="212">
        <v>58.5</v>
      </c>
      <c r="K75" s="216">
        <v>3</v>
      </c>
      <c r="L75" s="217">
        <v>66</v>
      </c>
      <c r="M75" s="212">
        <v>74</v>
      </c>
      <c r="N75" s="223">
        <v>28</v>
      </c>
      <c r="O75" s="224">
        <v>42.63</v>
      </c>
      <c r="P75" s="225">
        <v>42.47</v>
      </c>
    </row>
    <row r="76" spans="1:16">
      <c r="A76" s="139">
        <v>3</v>
      </c>
      <c r="B76" s="140">
        <v>58</v>
      </c>
      <c r="C76" s="141">
        <v>57</v>
      </c>
      <c r="D76" s="139">
        <v>2</v>
      </c>
      <c r="E76" s="140">
        <v>65</v>
      </c>
      <c r="F76" s="141">
        <v>73</v>
      </c>
      <c r="H76" s="210">
        <v>3</v>
      </c>
      <c r="I76" s="211">
        <v>58</v>
      </c>
      <c r="J76" s="212">
        <v>57</v>
      </c>
      <c r="K76" s="216">
        <v>2</v>
      </c>
      <c r="L76" s="217">
        <v>65</v>
      </c>
      <c r="M76" s="212">
        <v>73</v>
      </c>
      <c r="N76" s="223">
        <v>27</v>
      </c>
      <c r="O76" s="224">
        <v>42.28</v>
      </c>
      <c r="P76" s="225">
        <v>42.11</v>
      </c>
    </row>
    <row r="77" spans="1:16">
      <c r="A77" s="139">
        <v>3</v>
      </c>
      <c r="B77" s="140">
        <v>57</v>
      </c>
      <c r="C77" s="141">
        <v>55.5</v>
      </c>
      <c r="D77" s="139">
        <v>1</v>
      </c>
      <c r="E77" s="140">
        <v>64</v>
      </c>
      <c r="F77" s="141">
        <v>72</v>
      </c>
      <c r="H77" s="210">
        <v>3</v>
      </c>
      <c r="I77" s="211">
        <v>57</v>
      </c>
      <c r="J77" s="212">
        <v>55.5</v>
      </c>
      <c r="K77" s="216">
        <v>1</v>
      </c>
      <c r="L77" s="217">
        <v>64</v>
      </c>
      <c r="M77" s="212">
        <v>72</v>
      </c>
      <c r="N77" s="223">
        <v>26</v>
      </c>
      <c r="O77" s="224">
        <v>41.94</v>
      </c>
      <c r="P77" s="225">
        <v>41.76</v>
      </c>
    </row>
    <row r="78" spans="1:16">
      <c r="A78" s="139">
        <v>2</v>
      </c>
      <c r="B78" s="140">
        <v>56</v>
      </c>
      <c r="C78" s="141">
        <v>54</v>
      </c>
      <c r="D78" s="139">
        <v>1</v>
      </c>
      <c r="E78" s="140">
        <v>63</v>
      </c>
      <c r="F78" s="141">
        <v>71</v>
      </c>
      <c r="H78" s="210">
        <v>2</v>
      </c>
      <c r="I78" s="211">
        <v>56</v>
      </c>
      <c r="J78" s="212">
        <v>54</v>
      </c>
      <c r="K78" s="216">
        <v>1</v>
      </c>
      <c r="L78" s="217">
        <v>63</v>
      </c>
      <c r="M78" s="212">
        <v>71</v>
      </c>
      <c r="N78" s="223">
        <v>25</v>
      </c>
      <c r="O78" s="224">
        <v>41.59</v>
      </c>
      <c r="P78" s="225">
        <v>41.42</v>
      </c>
    </row>
    <row r="79" spans="1:16">
      <c r="A79" s="139">
        <v>2</v>
      </c>
      <c r="B79" s="140">
        <v>55</v>
      </c>
      <c r="C79" s="141">
        <v>52.66</v>
      </c>
      <c r="D79" s="139">
        <v>1</v>
      </c>
      <c r="E79" s="140">
        <v>62</v>
      </c>
      <c r="F79" s="141">
        <v>70</v>
      </c>
      <c r="H79" s="210">
        <v>2</v>
      </c>
      <c r="I79" s="211">
        <v>55</v>
      </c>
      <c r="J79" s="212">
        <v>52.67</v>
      </c>
      <c r="K79" s="216">
        <v>1</v>
      </c>
      <c r="L79" s="217">
        <v>62</v>
      </c>
      <c r="M79" s="212">
        <v>70</v>
      </c>
      <c r="N79" s="223">
        <v>24</v>
      </c>
      <c r="O79" s="224">
        <v>41.25</v>
      </c>
      <c r="P79" s="225">
        <v>41.1</v>
      </c>
    </row>
    <row r="80" spans="1:16" ht="17.25" thickBot="1">
      <c r="A80" s="139">
        <v>2</v>
      </c>
      <c r="B80" s="140">
        <v>54</v>
      </c>
      <c r="C80" s="141">
        <v>51.33</v>
      </c>
      <c r="D80" s="142">
        <v>0</v>
      </c>
      <c r="E80" s="143" t="s">
        <v>380</v>
      </c>
      <c r="F80" s="144">
        <v>69</v>
      </c>
      <c r="H80" s="210">
        <v>2</v>
      </c>
      <c r="I80" s="211">
        <v>54</v>
      </c>
      <c r="J80" s="212">
        <v>51.33</v>
      </c>
      <c r="K80" s="216">
        <v>0</v>
      </c>
      <c r="L80" s="217">
        <v>61</v>
      </c>
      <c r="M80" s="212">
        <v>69</v>
      </c>
      <c r="N80" s="223">
        <v>23</v>
      </c>
      <c r="O80" s="224">
        <v>40.9</v>
      </c>
      <c r="P80" s="225">
        <v>40.79</v>
      </c>
    </row>
    <row r="81" spans="1:16">
      <c r="A81" s="139">
        <v>1</v>
      </c>
      <c r="B81" s="140">
        <v>53</v>
      </c>
      <c r="C81" s="141">
        <v>50</v>
      </c>
      <c r="D81" s="163">
        <v>0</v>
      </c>
      <c r="E81" s="163">
        <v>0</v>
      </c>
      <c r="F81" s="163">
        <v>0</v>
      </c>
      <c r="H81" s="210">
        <v>1</v>
      </c>
      <c r="I81" s="211">
        <v>53</v>
      </c>
      <c r="J81" s="212">
        <v>50</v>
      </c>
      <c r="K81" s="216">
        <v>0</v>
      </c>
      <c r="L81" s="217">
        <v>60</v>
      </c>
      <c r="M81" s="212">
        <v>68.400000000000006</v>
      </c>
      <c r="N81" s="223">
        <v>22</v>
      </c>
      <c r="O81" s="224">
        <v>40.54</v>
      </c>
      <c r="P81" s="225">
        <v>40.479999999999997</v>
      </c>
    </row>
    <row r="82" spans="1:16">
      <c r="A82" s="139">
        <v>1</v>
      </c>
      <c r="B82" s="140">
        <v>52</v>
      </c>
      <c r="C82" s="141">
        <v>49</v>
      </c>
      <c r="H82" s="210">
        <v>1</v>
      </c>
      <c r="I82" s="211">
        <v>52</v>
      </c>
      <c r="J82" s="212">
        <v>49</v>
      </c>
      <c r="K82" s="216">
        <v>0</v>
      </c>
      <c r="L82" s="217">
        <v>59</v>
      </c>
      <c r="M82" s="212">
        <v>67.8</v>
      </c>
      <c r="N82" s="223">
        <v>21</v>
      </c>
      <c r="O82" s="224">
        <v>40.18</v>
      </c>
      <c r="P82" s="225">
        <v>40.14</v>
      </c>
    </row>
    <row r="83" spans="1:16">
      <c r="A83" s="139">
        <v>1</v>
      </c>
      <c r="B83" s="140">
        <v>51</v>
      </c>
      <c r="C83" s="141">
        <v>48</v>
      </c>
      <c r="H83" s="210">
        <v>1</v>
      </c>
      <c r="I83" s="211">
        <v>51</v>
      </c>
      <c r="J83" s="212">
        <v>48</v>
      </c>
      <c r="K83" s="216">
        <v>0</v>
      </c>
      <c r="L83" s="217">
        <v>58</v>
      </c>
      <c r="M83" s="212">
        <v>67.2</v>
      </c>
      <c r="N83" s="223">
        <v>20</v>
      </c>
      <c r="O83" s="224">
        <v>39.840000000000003</v>
      </c>
      <c r="P83" s="225">
        <v>39.81</v>
      </c>
    </row>
    <row r="84" spans="1:16" ht="17.25" thickBot="1">
      <c r="A84" s="139">
        <v>1</v>
      </c>
      <c r="B84" s="140">
        <v>50</v>
      </c>
      <c r="C84" s="141">
        <v>47</v>
      </c>
      <c r="H84" s="210">
        <v>1</v>
      </c>
      <c r="I84" s="211">
        <v>50</v>
      </c>
      <c r="J84" s="212">
        <v>47</v>
      </c>
      <c r="K84" s="229">
        <v>0</v>
      </c>
      <c r="L84" s="230">
        <v>56</v>
      </c>
      <c r="M84" s="228">
        <v>66</v>
      </c>
      <c r="N84" s="223">
        <v>19</v>
      </c>
      <c r="O84" s="224">
        <v>39.49</v>
      </c>
      <c r="P84" s="225">
        <v>39.450000000000003</v>
      </c>
    </row>
    <row r="85" spans="1:16">
      <c r="A85" s="139">
        <v>1</v>
      </c>
      <c r="B85" s="140">
        <v>49</v>
      </c>
      <c r="C85" s="141">
        <v>46</v>
      </c>
      <c r="H85" s="210">
        <v>1</v>
      </c>
      <c r="I85" s="211">
        <v>49</v>
      </c>
      <c r="J85" s="212">
        <v>46</v>
      </c>
      <c r="N85" s="223">
        <v>18</v>
      </c>
      <c r="O85" s="224">
        <v>39.130000000000003</v>
      </c>
      <c r="P85" s="225">
        <v>39.090000000000003</v>
      </c>
    </row>
    <row r="86" spans="1:16" ht="17.25" thickBot="1">
      <c r="A86" s="142">
        <v>0</v>
      </c>
      <c r="B86" s="143" t="s">
        <v>377</v>
      </c>
      <c r="C86" s="144">
        <v>45</v>
      </c>
      <c r="H86" s="210">
        <v>0</v>
      </c>
      <c r="I86" s="211">
        <v>48</v>
      </c>
      <c r="J86" s="212">
        <v>45</v>
      </c>
      <c r="N86" s="223">
        <v>17</v>
      </c>
      <c r="O86" s="224">
        <v>38.76</v>
      </c>
      <c r="P86" s="225">
        <v>38.79</v>
      </c>
    </row>
    <row r="87" spans="1:16">
      <c r="A87" s="163">
        <v>0</v>
      </c>
      <c r="B87" s="163">
        <v>0</v>
      </c>
      <c r="C87" s="163">
        <v>0</v>
      </c>
      <c r="H87" s="210">
        <v>0</v>
      </c>
      <c r="I87" s="211">
        <v>47</v>
      </c>
      <c r="J87" s="212">
        <v>43.87</v>
      </c>
      <c r="N87" s="223">
        <v>16</v>
      </c>
      <c r="O87" s="224">
        <v>38.39</v>
      </c>
      <c r="P87" s="225">
        <v>38.479999999999997</v>
      </c>
    </row>
    <row r="88" spans="1:16">
      <c r="H88" s="210">
        <v>0</v>
      </c>
      <c r="I88" s="211">
        <v>46</v>
      </c>
      <c r="J88" s="212">
        <v>42.73</v>
      </c>
      <c r="N88" s="223">
        <v>15</v>
      </c>
      <c r="O88" s="224">
        <v>38.04</v>
      </c>
      <c r="P88" s="225">
        <v>38.15</v>
      </c>
    </row>
    <row r="89" spans="1:16">
      <c r="H89" s="210">
        <v>0</v>
      </c>
      <c r="I89" s="211">
        <v>45</v>
      </c>
      <c r="J89" s="212">
        <v>41.6</v>
      </c>
      <c r="N89" s="223">
        <v>14</v>
      </c>
      <c r="O89" s="224">
        <v>37.659999999999997</v>
      </c>
      <c r="P89" s="225">
        <v>37.840000000000003</v>
      </c>
    </row>
    <row r="90" spans="1:16">
      <c r="H90" s="210">
        <v>0</v>
      </c>
      <c r="I90" s="211">
        <v>44</v>
      </c>
      <c r="J90" s="212">
        <v>40.47</v>
      </c>
      <c r="N90" s="223">
        <v>13</v>
      </c>
      <c r="O90" s="224">
        <v>37.28</v>
      </c>
      <c r="P90" s="225">
        <v>37.520000000000003</v>
      </c>
    </row>
    <row r="91" spans="1:16">
      <c r="H91" s="210">
        <v>0</v>
      </c>
      <c r="I91" s="211">
        <v>43</v>
      </c>
      <c r="J91" s="212">
        <v>39.33</v>
      </c>
      <c r="N91" s="223">
        <v>12</v>
      </c>
      <c r="O91" s="224">
        <v>36.93</v>
      </c>
      <c r="P91" s="225">
        <v>37.19</v>
      </c>
    </row>
    <row r="92" spans="1:16">
      <c r="H92" s="210">
        <v>0</v>
      </c>
      <c r="I92" s="211">
        <v>42</v>
      </c>
      <c r="J92" s="212">
        <v>38.200000000000003</v>
      </c>
      <c r="N92" s="223">
        <v>11</v>
      </c>
      <c r="O92" s="224">
        <v>36.590000000000003</v>
      </c>
      <c r="P92" s="225">
        <v>36.799999999999997</v>
      </c>
    </row>
    <row r="93" spans="1:16">
      <c r="H93" s="210">
        <v>0</v>
      </c>
      <c r="I93" s="211">
        <v>41</v>
      </c>
      <c r="J93" s="212">
        <v>37.07</v>
      </c>
      <c r="N93" s="223">
        <v>10</v>
      </c>
      <c r="O93" s="224">
        <v>36.17</v>
      </c>
      <c r="P93" s="225">
        <v>36.44</v>
      </c>
    </row>
    <row r="94" spans="1:16">
      <c r="H94" s="210">
        <v>0</v>
      </c>
      <c r="I94" s="211">
        <v>40</v>
      </c>
      <c r="J94" s="212">
        <v>35.93</v>
      </c>
      <c r="N94" s="223">
        <v>9</v>
      </c>
      <c r="O94" s="224">
        <v>35.799999999999997</v>
      </c>
      <c r="P94" s="225">
        <v>36.1</v>
      </c>
    </row>
    <row r="95" spans="1:16">
      <c r="H95" s="210">
        <v>0</v>
      </c>
      <c r="I95" s="211">
        <v>39</v>
      </c>
      <c r="J95" s="212">
        <v>34.799999999999997</v>
      </c>
      <c r="N95" s="223">
        <v>8</v>
      </c>
      <c r="O95" s="224">
        <v>35.43</v>
      </c>
      <c r="P95" s="225">
        <v>35.75</v>
      </c>
    </row>
    <row r="96" spans="1:16">
      <c r="H96" s="210">
        <v>0</v>
      </c>
      <c r="I96" s="211">
        <v>38</v>
      </c>
      <c r="J96" s="212">
        <v>33.67</v>
      </c>
      <c r="N96" s="223">
        <v>7</v>
      </c>
      <c r="O96" s="224">
        <v>34.979999999999997</v>
      </c>
      <c r="P96" s="225">
        <v>35.4</v>
      </c>
    </row>
    <row r="97" spans="8:16">
      <c r="H97" s="210">
        <v>0</v>
      </c>
      <c r="I97" s="211">
        <v>37</v>
      </c>
      <c r="J97" s="212">
        <v>32.53</v>
      </c>
      <c r="N97" s="223">
        <v>6</v>
      </c>
      <c r="O97" s="224">
        <v>34.47</v>
      </c>
      <c r="P97" s="225">
        <v>34.880000000000003</v>
      </c>
    </row>
    <row r="98" spans="8:16">
      <c r="H98" s="210">
        <v>0</v>
      </c>
      <c r="I98" s="211">
        <v>36</v>
      </c>
      <c r="J98" s="212">
        <v>31.4</v>
      </c>
      <c r="N98" s="223">
        <v>5</v>
      </c>
      <c r="O98" s="224">
        <v>33.93</v>
      </c>
      <c r="P98" s="225">
        <v>34.42</v>
      </c>
    </row>
    <row r="99" spans="8:16">
      <c r="H99" s="210">
        <v>0</v>
      </c>
      <c r="I99" s="211">
        <v>35</v>
      </c>
      <c r="J99" s="212">
        <v>30.27</v>
      </c>
      <c r="N99" s="223">
        <v>4</v>
      </c>
      <c r="O99" s="224">
        <v>33.35</v>
      </c>
      <c r="P99" s="225">
        <v>33.92</v>
      </c>
    </row>
    <row r="100" spans="8:16" ht="17.25" thickBot="1">
      <c r="H100" s="226">
        <v>0</v>
      </c>
      <c r="I100" s="227">
        <v>33</v>
      </c>
      <c r="J100" s="228">
        <v>28</v>
      </c>
      <c r="N100" s="223">
        <v>3</v>
      </c>
      <c r="O100" s="224">
        <v>32.450000000000003</v>
      </c>
      <c r="P100" s="225">
        <v>33.19</v>
      </c>
    </row>
    <row r="101" spans="8:16">
      <c r="N101" s="223">
        <v>2</v>
      </c>
      <c r="O101" s="224">
        <v>31.6</v>
      </c>
      <c r="P101" s="225">
        <v>32.31</v>
      </c>
    </row>
    <row r="102" spans="8:16">
      <c r="N102" s="223">
        <v>1</v>
      </c>
      <c r="O102" s="224">
        <v>30.68</v>
      </c>
      <c r="P102" s="225">
        <v>31.25</v>
      </c>
    </row>
    <row r="103" spans="8:16" ht="17.25" thickBot="1">
      <c r="N103" s="232">
        <v>0</v>
      </c>
      <c r="O103" s="233">
        <v>28.9</v>
      </c>
      <c r="P103" s="234">
        <v>29.63</v>
      </c>
    </row>
    <row r="105" spans="8:16">
      <c r="K105" t="s">
        <v>514</v>
      </c>
    </row>
  </sheetData>
  <sheetProtection algorithmName="SHA-512" hashValue="SLhFO1zjteei1ud7RFny0aJIglJTUChCC8rOYPd8dbDzHGDwYkk2xY85xjftI3UVHE+w8tRN/tBMZ1gnDyQbJw==" saltValue="ItOHVfQbMX791KzzThNh6Q==" spinCount="100000" sheet="1" objects="1" scenarios="1" selectLockedCells="1" selectUnlockedCells="1"/>
  <mergeCells count="4">
    <mergeCell ref="O1:P1"/>
    <mergeCell ref="A1:C1"/>
    <mergeCell ref="D1:F1"/>
    <mergeCell ref="N1:N2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X72"/>
  <sheetViews>
    <sheetView topLeftCell="G1" workbookViewId="0">
      <selection activeCell="V40" sqref="V40:X40"/>
    </sheetView>
  </sheetViews>
  <sheetFormatPr defaultRowHeight="16.5"/>
  <sheetData>
    <row r="1" spans="1:24">
      <c r="A1" s="330" t="s">
        <v>359</v>
      </c>
      <c r="B1" s="331"/>
      <c r="C1" s="332"/>
      <c r="D1" s="330" t="s">
        <v>360</v>
      </c>
      <c r="E1" s="331"/>
      <c r="F1" s="332"/>
      <c r="G1" s="330" t="s">
        <v>361</v>
      </c>
      <c r="H1" s="331"/>
      <c r="I1" s="332"/>
      <c r="J1" s="330" t="s">
        <v>362</v>
      </c>
      <c r="K1" s="331"/>
      <c r="L1" s="332"/>
      <c r="M1" s="330" t="s">
        <v>363</v>
      </c>
      <c r="N1" s="331"/>
      <c r="O1" s="332"/>
      <c r="P1" s="330" t="s">
        <v>364</v>
      </c>
      <c r="Q1" s="331"/>
      <c r="R1" s="332"/>
      <c r="S1" s="330" t="s">
        <v>365</v>
      </c>
      <c r="T1" s="331"/>
      <c r="U1" s="332"/>
      <c r="V1" s="330" t="s">
        <v>366</v>
      </c>
      <c r="W1" s="331"/>
      <c r="X1" s="332"/>
    </row>
    <row r="2" spans="1:24" ht="17.25" thickBot="1">
      <c r="A2" s="136" t="s">
        <v>2</v>
      </c>
      <c r="B2" s="137" t="s">
        <v>4</v>
      </c>
      <c r="C2" s="138" t="s">
        <v>357</v>
      </c>
      <c r="D2" s="145" t="s">
        <v>2</v>
      </c>
      <c r="E2" s="146" t="s">
        <v>4</v>
      </c>
      <c r="F2" s="147" t="s">
        <v>357</v>
      </c>
      <c r="G2" s="145" t="s">
        <v>2</v>
      </c>
      <c r="H2" s="146" t="s">
        <v>4</v>
      </c>
      <c r="I2" s="147" t="s">
        <v>357</v>
      </c>
      <c r="J2" s="145" t="s">
        <v>2</v>
      </c>
      <c r="K2" s="146" t="s">
        <v>4</v>
      </c>
      <c r="L2" s="147" t="s">
        <v>357</v>
      </c>
      <c r="M2" s="145" t="s">
        <v>2</v>
      </c>
      <c r="N2" s="146" t="s">
        <v>4</v>
      </c>
      <c r="O2" s="147" t="s">
        <v>357</v>
      </c>
      <c r="P2" s="145" t="s">
        <v>2</v>
      </c>
      <c r="Q2" s="146" t="s">
        <v>4</v>
      </c>
      <c r="R2" s="147" t="s">
        <v>357</v>
      </c>
      <c r="S2" s="145" t="s">
        <v>2</v>
      </c>
      <c r="T2" s="146" t="s">
        <v>4</v>
      </c>
      <c r="U2" s="147" t="s">
        <v>357</v>
      </c>
      <c r="V2" s="145" t="s">
        <v>2</v>
      </c>
      <c r="W2" s="146" t="s">
        <v>4</v>
      </c>
      <c r="X2" s="147" t="s">
        <v>357</v>
      </c>
    </row>
    <row r="3" spans="1:24">
      <c r="A3" s="139">
        <v>99</v>
      </c>
      <c r="B3" s="140">
        <v>69</v>
      </c>
      <c r="C3" s="141">
        <v>66.2</v>
      </c>
      <c r="D3" s="148">
        <v>100</v>
      </c>
      <c r="E3" s="149">
        <v>71</v>
      </c>
      <c r="F3" s="150">
        <v>66.400000000000006</v>
      </c>
      <c r="G3" s="148">
        <v>100</v>
      </c>
      <c r="H3" s="149">
        <v>71</v>
      </c>
      <c r="I3" s="150">
        <v>66.400000000000006</v>
      </c>
      <c r="J3" s="148">
        <v>100</v>
      </c>
      <c r="K3" s="149">
        <v>73</v>
      </c>
      <c r="L3" s="150">
        <v>66.400000000000006</v>
      </c>
      <c r="M3" s="148">
        <v>99</v>
      </c>
      <c r="N3" s="149">
        <v>66</v>
      </c>
      <c r="O3" s="150">
        <v>66.2</v>
      </c>
      <c r="P3" s="148">
        <v>100</v>
      </c>
      <c r="Q3" s="149">
        <v>72</v>
      </c>
      <c r="R3" s="150">
        <v>66.400000000000006</v>
      </c>
      <c r="S3" s="148">
        <v>98</v>
      </c>
      <c r="T3" s="149">
        <v>67</v>
      </c>
      <c r="U3" s="150">
        <v>65.849999999999994</v>
      </c>
      <c r="V3" s="148">
        <v>99</v>
      </c>
      <c r="W3" s="149">
        <v>68</v>
      </c>
      <c r="X3" s="150">
        <v>66.2</v>
      </c>
    </row>
    <row r="4" spans="1:24">
      <c r="A4" s="139">
        <v>98</v>
      </c>
      <c r="B4" s="140">
        <v>68</v>
      </c>
      <c r="C4" s="141">
        <v>65.849999999999994</v>
      </c>
      <c r="D4" s="139">
        <v>100</v>
      </c>
      <c r="E4" s="140">
        <v>70</v>
      </c>
      <c r="F4" s="141">
        <v>66.33</v>
      </c>
      <c r="G4" s="139">
        <v>99</v>
      </c>
      <c r="H4" s="140">
        <v>70</v>
      </c>
      <c r="I4" s="141">
        <v>66.2</v>
      </c>
      <c r="J4" s="139">
        <v>100</v>
      </c>
      <c r="K4" s="140">
        <v>71</v>
      </c>
      <c r="L4" s="141">
        <v>66.260000000000005</v>
      </c>
      <c r="M4" s="139">
        <v>98</v>
      </c>
      <c r="N4" s="140">
        <v>64</v>
      </c>
      <c r="O4" s="141">
        <v>65.849999999999994</v>
      </c>
      <c r="P4" s="139">
        <v>99</v>
      </c>
      <c r="Q4" s="140">
        <v>70</v>
      </c>
      <c r="R4" s="141">
        <v>66.2</v>
      </c>
      <c r="S4" s="139">
        <v>94</v>
      </c>
      <c r="T4" s="140">
        <v>65</v>
      </c>
      <c r="U4" s="141">
        <v>64.33</v>
      </c>
      <c r="V4" s="139">
        <v>97</v>
      </c>
      <c r="W4" s="140">
        <v>66</v>
      </c>
      <c r="X4" s="141">
        <v>65.48</v>
      </c>
    </row>
    <row r="5" spans="1:24">
      <c r="A5" s="139">
        <v>97</v>
      </c>
      <c r="B5" s="140">
        <v>67</v>
      </c>
      <c r="C5" s="141">
        <v>65.48</v>
      </c>
      <c r="D5" s="139">
        <v>100</v>
      </c>
      <c r="E5" s="140">
        <v>69</v>
      </c>
      <c r="F5" s="141">
        <v>66.260000000000005</v>
      </c>
      <c r="G5" s="139">
        <v>98</v>
      </c>
      <c r="H5" s="140">
        <v>69</v>
      </c>
      <c r="I5" s="141">
        <v>65.849999999999994</v>
      </c>
      <c r="J5" s="139">
        <v>99</v>
      </c>
      <c r="K5" s="140">
        <v>70</v>
      </c>
      <c r="L5" s="141">
        <v>66.2</v>
      </c>
      <c r="M5" s="139">
        <v>94</v>
      </c>
      <c r="N5" s="140">
        <v>63</v>
      </c>
      <c r="O5" s="141">
        <v>64.33</v>
      </c>
      <c r="P5" s="139">
        <v>99</v>
      </c>
      <c r="Q5" s="140">
        <v>69</v>
      </c>
      <c r="R5" s="141">
        <v>66.02</v>
      </c>
      <c r="S5" s="139">
        <v>91</v>
      </c>
      <c r="T5" s="140">
        <v>64</v>
      </c>
      <c r="U5" s="141">
        <v>63.38</v>
      </c>
      <c r="V5" s="139">
        <v>94</v>
      </c>
      <c r="W5" s="140">
        <v>65</v>
      </c>
      <c r="X5" s="141">
        <v>64.33</v>
      </c>
    </row>
    <row r="6" spans="1:24">
      <c r="A6" s="139">
        <v>95</v>
      </c>
      <c r="B6" s="140">
        <v>66</v>
      </c>
      <c r="C6" s="141">
        <v>64.7</v>
      </c>
      <c r="D6" s="139">
        <v>99</v>
      </c>
      <c r="E6" s="140">
        <v>68</v>
      </c>
      <c r="F6" s="141">
        <v>66.2</v>
      </c>
      <c r="G6" s="139">
        <v>97</v>
      </c>
      <c r="H6" s="140">
        <v>68</v>
      </c>
      <c r="I6" s="141">
        <v>65.48</v>
      </c>
      <c r="J6" s="139">
        <v>99</v>
      </c>
      <c r="K6" s="140">
        <v>69</v>
      </c>
      <c r="L6" s="141">
        <v>66.02</v>
      </c>
      <c r="M6" s="139">
        <v>90</v>
      </c>
      <c r="N6" s="140">
        <v>62</v>
      </c>
      <c r="O6" s="141">
        <v>63.02</v>
      </c>
      <c r="P6" s="139">
        <v>98</v>
      </c>
      <c r="Q6" s="140">
        <v>68</v>
      </c>
      <c r="R6" s="141">
        <v>65.849999999999994</v>
      </c>
      <c r="S6" s="139">
        <v>89</v>
      </c>
      <c r="T6" s="140">
        <v>63</v>
      </c>
      <c r="U6" s="141">
        <v>62.74</v>
      </c>
      <c r="V6" s="139">
        <v>91</v>
      </c>
      <c r="W6" s="140">
        <v>64</v>
      </c>
      <c r="X6" s="141">
        <v>63.38</v>
      </c>
    </row>
    <row r="7" spans="1:24">
      <c r="A7" s="139">
        <v>94</v>
      </c>
      <c r="B7" s="140">
        <v>65</v>
      </c>
      <c r="C7" s="141">
        <v>64.33</v>
      </c>
      <c r="D7" s="139">
        <v>98</v>
      </c>
      <c r="E7" s="140">
        <v>67</v>
      </c>
      <c r="F7" s="141">
        <v>65.849999999999994</v>
      </c>
      <c r="G7" s="139">
        <v>96</v>
      </c>
      <c r="H7" s="140">
        <v>67</v>
      </c>
      <c r="I7" s="141">
        <v>65.099999999999994</v>
      </c>
      <c r="J7" s="139">
        <v>98</v>
      </c>
      <c r="K7" s="140">
        <v>68</v>
      </c>
      <c r="L7" s="141">
        <v>65.849999999999994</v>
      </c>
      <c r="M7" s="139">
        <v>86</v>
      </c>
      <c r="N7" s="140">
        <v>61</v>
      </c>
      <c r="O7" s="141">
        <v>61.89</v>
      </c>
      <c r="P7" s="139">
        <v>96</v>
      </c>
      <c r="Q7" s="140">
        <v>67</v>
      </c>
      <c r="R7" s="141">
        <v>65.099999999999994</v>
      </c>
      <c r="S7" s="139">
        <v>86</v>
      </c>
      <c r="T7" s="140">
        <v>62</v>
      </c>
      <c r="U7" s="141">
        <v>61.89</v>
      </c>
      <c r="V7" s="139">
        <v>87</v>
      </c>
      <c r="W7" s="140">
        <v>63</v>
      </c>
      <c r="X7" s="141">
        <v>62.18</v>
      </c>
    </row>
    <row r="8" spans="1:24">
      <c r="A8" s="139">
        <v>91</v>
      </c>
      <c r="B8" s="140">
        <v>64</v>
      </c>
      <c r="C8" s="141">
        <v>63.38</v>
      </c>
      <c r="D8" s="139">
        <v>97</v>
      </c>
      <c r="E8" s="140">
        <v>66</v>
      </c>
      <c r="F8" s="141">
        <v>65.48</v>
      </c>
      <c r="G8" s="139">
        <v>94</v>
      </c>
      <c r="H8" s="140">
        <v>66</v>
      </c>
      <c r="I8" s="141">
        <v>64.33</v>
      </c>
      <c r="J8" s="139">
        <v>97</v>
      </c>
      <c r="K8" s="140">
        <v>67</v>
      </c>
      <c r="L8" s="141">
        <v>65.48</v>
      </c>
      <c r="M8" s="139">
        <v>83</v>
      </c>
      <c r="N8" s="140">
        <v>60</v>
      </c>
      <c r="O8" s="141">
        <v>61.1</v>
      </c>
      <c r="P8" s="139">
        <v>95</v>
      </c>
      <c r="Q8" s="140">
        <v>66</v>
      </c>
      <c r="R8" s="141">
        <v>64.7</v>
      </c>
      <c r="S8" s="139">
        <v>81</v>
      </c>
      <c r="T8" s="140">
        <v>61</v>
      </c>
      <c r="U8" s="141">
        <v>60.46</v>
      </c>
      <c r="V8" s="139">
        <v>85</v>
      </c>
      <c r="W8" s="140">
        <v>62</v>
      </c>
      <c r="X8" s="141">
        <v>61.64</v>
      </c>
    </row>
    <row r="9" spans="1:24">
      <c r="A9" s="139">
        <v>88</v>
      </c>
      <c r="B9" s="140">
        <v>63</v>
      </c>
      <c r="C9" s="141">
        <v>62.47</v>
      </c>
      <c r="D9" s="139">
        <v>96</v>
      </c>
      <c r="E9" s="140">
        <v>65</v>
      </c>
      <c r="F9" s="141">
        <v>65.099999999999994</v>
      </c>
      <c r="G9" s="139">
        <v>93</v>
      </c>
      <c r="H9" s="140">
        <v>65</v>
      </c>
      <c r="I9" s="141">
        <v>64.02</v>
      </c>
      <c r="J9" s="139">
        <v>96</v>
      </c>
      <c r="K9" s="140">
        <v>66</v>
      </c>
      <c r="L9" s="141">
        <v>65.099999999999994</v>
      </c>
      <c r="M9" s="139">
        <v>78</v>
      </c>
      <c r="N9" s="140">
        <v>59</v>
      </c>
      <c r="O9" s="141">
        <v>59.64</v>
      </c>
      <c r="P9" s="139">
        <v>93</v>
      </c>
      <c r="Q9" s="140">
        <v>65</v>
      </c>
      <c r="R9" s="141">
        <v>64.02</v>
      </c>
      <c r="S9" s="139">
        <v>78</v>
      </c>
      <c r="T9" s="140">
        <v>60</v>
      </c>
      <c r="U9" s="141">
        <v>59.64</v>
      </c>
      <c r="V9" s="139">
        <v>82</v>
      </c>
      <c r="W9" s="140">
        <v>61</v>
      </c>
      <c r="X9" s="141">
        <v>60.79</v>
      </c>
    </row>
    <row r="10" spans="1:24">
      <c r="A10" s="139">
        <v>85</v>
      </c>
      <c r="B10" s="140">
        <v>62</v>
      </c>
      <c r="C10" s="141">
        <v>61.64</v>
      </c>
      <c r="D10" s="139">
        <v>94</v>
      </c>
      <c r="E10" s="140">
        <v>64</v>
      </c>
      <c r="F10" s="141">
        <v>64.33</v>
      </c>
      <c r="G10" s="139">
        <v>91</v>
      </c>
      <c r="H10" s="140">
        <v>64</v>
      </c>
      <c r="I10" s="141">
        <v>63.38</v>
      </c>
      <c r="J10" s="139">
        <v>94</v>
      </c>
      <c r="K10" s="140">
        <v>65</v>
      </c>
      <c r="L10" s="141">
        <v>64.33</v>
      </c>
      <c r="M10" s="139">
        <v>72</v>
      </c>
      <c r="N10" s="140">
        <v>58</v>
      </c>
      <c r="O10" s="141">
        <v>57.93</v>
      </c>
      <c r="P10" s="139">
        <v>92</v>
      </c>
      <c r="Q10" s="140">
        <v>64</v>
      </c>
      <c r="R10" s="141">
        <v>63.7</v>
      </c>
      <c r="S10" s="139">
        <v>75</v>
      </c>
      <c r="T10" s="140">
        <v>59</v>
      </c>
      <c r="U10" s="141">
        <v>58.75</v>
      </c>
      <c r="V10" s="139">
        <v>78</v>
      </c>
      <c r="W10" s="140">
        <v>60</v>
      </c>
      <c r="X10" s="141">
        <v>59.64</v>
      </c>
    </row>
    <row r="11" spans="1:24">
      <c r="A11" s="139">
        <v>83</v>
      </c>
      <c r="B11" s="140">
        <v>61</v>
      </c>
      <c r="C11" s="141">
        <v>61.1</v>
      </c>
      <c r="D11" s="139">
        <v>91</v>
      </c>
      <c r="E11" s="140">
        <v>63</v>
      </c>
      <c r="F11" s="141">
        <v>63.38</v>
      </c>
      <c r="G11" s="139">
        <v>88</v>
      </c>
      <c r="H11" s="140">
        <v>63</v>
      </c>
      <c r="I11" s="141">
        <v>62.47</v>
      </c>
      <c r="J11" s="139">
        <v>92</v>
      </c>
      <c r="K11" s="140">
        <v>64</v>
      </c>
      <c r="L11" s="141">
        <v>63.7</v>
      </c>
      <c r="M11" s="139">
        <v>69</v>
      </c>
      <c r="N11" s="140">
        <v>57</v>
      </c>
      <c r="O11" s="141">
        <v>57.07</v>
      </c>
      <c r="P11" s="139">
        <v>90</v>
      </c>
      <c r="Q11" s="140">
        <v>63</v>
      </c>
      <c r="R11" s="141">
        <v>63.02</v>
      </c>
      <c r="S11" s="139">
        <v>71</v>
      </c>
      <c r="T11" s="140">
        <v>58</v>
      </c>
      <c r="U11" s="141">
        <v>57.66</v>
      </c>
      <c r="V11" s="139">
        <v>74</v>
      </c>
      <c r="W11" s="140">
        <v>59</v>
      </c>
      <c r="X11" s="141">
        <v>58.48</v>
      </c>
    </row>
    <row r="12" spans="1:24">
      <c r="A12" s="139">
        <v>80</v>
      </c>
      <c r="B12" s="140">
        <v>60</v>
      </c>
      <c r="C12" s="141">
        <v>60.15</v>
      </c>
      <c r="D12" s="139">
        <v>89</v>
      </c>
      <c r="E12" s="140">
        <v>62</v>
      </c>
      <c r="F12" s="141">
        <v>62.74</v>
      </c>
      <c r="G12" s="139">
        <v>85</v>
      </c>
      <c r="H12" s="140">
        <v>62</v>
      </c>
      <c r="I12" s="141">
        <v>61.64</v>
      </c>
      <c r="J12" s="139">
        <v>90</v>
      </c>
      <c r="K12" s="140">
        <v>63</v>
      </c>
      <c r="L12" s="141">
        <v>63.02</v>
      </c>
      <c r="M12" s="139">
        <v>64</v>
      </c>
      <c r="N12" s="140">
        <v>56</v>
      </c>
      <c r="O12" s="141">
        <v>55.4</v>
      </c>
      <c r="P12" s="139">
        <v>87</v>
      </c>
      <c r="Q12" s="140">
        <v>62</v>
      </c>
      <c r="R12" s="141">
        <v>62.18</v>
      </c>
      <c r="S12" s="139">
        <v>69</v>
      </c>
      <c r="T12" s="140">
        <v>57</v>
      </c>
      <c r="U12" s="141">
        <v>57.07</v>
      </c>
      <c r="V12" s="139">
        <v>72</v>
      </c>
      <c r="W12" s="140">
        <v>58</v>
      </c>
      <c r="X12" s="141">
        <v>57.93</v>
      </c>
    </row>
    <row r="13" spans="1:24">
      <c r="A13" s="139">
        <v>77</v>
      </c>
      <c r="B13" s="140">
        <v>59</v>
      </c>
      <c r="C13" s="141">
        <v>59.34</v>
      </c>
      <c r="D13" s="139">
        <v>85</v>
      </c>
      <c r="E13" s="140">
        <v>61</v>
      </c>
      <c r="F13" s="141">
        <v>61.64</v>
      </c>
      <c r="G13" s="139">
        <v>82</v>
      </c>
      <c r="H13" s="140">
        <v>61</v>
      </c>
      <c r="I13" s="141">
        <v>60.79</v>
      </c>
      <c r="J13" s="139">
        <v>87</v>
      </c>
      <c r="K13" s="140">
        <v>62</v>
      </c>
      <c r="L13" s="141">
        <v>62.18</v>
      </c>
      <c r="M13" s="139">
        <v>59</v>
      </c>
      <c r="N13" s="140">
        <v>55</v>
      </c>
      <c r="O13" s="141">
        <v>53.86</v>
      </c>
      <c r="P13" s="139">
        <v>85</v>
      </c>
      <c r="Q13" s="140">
        <v>61</v>
      </c>
      <c r="R13" s="141">
        <v>61.64</v>
      </c>
      <c r="S13" s="139">
        <v>66</v>
      </c>
      <c r="T13" s="140">
        <v>56</v>
      </c>
      <c r="U13" s="141">
        <v>56.03</v>
      </c>
      <c r="V13" s="139">
        <v>70</v>
      </c>
      <c r="W13" s="140">
        <v>57</v>
      </c>
      <c r="X13" s="141">
        <v>57.38</v>
      </c>
    </row>
    <row r="14" spans="1:24">
      <c r="A14" s="139">
        <v>73</v>
      </c>
      <c r="B14" s="140">
        <v>58</v>
      </c>
      <c r="C14" s="141">
        <v>58.19</v>
      </c>
      <c r="D14" s="139">
        <v>82</v>
      </c>
      <c r="E14" s="140">
        <v>60</v>
      </c>
      <c r="F14" s="141">
        <v>60.79</v>
      </c>
      <c r="G14" s="139">
        <v>80</v>
      </c>
      <c r="H14" s="140">
        <v>60</v>
      </c>
      <c r="I14" s="141">
        <v>60.15</v>
      </c>
      <c r="J14" s="139">
        <v>84</v>
      </c>
      <c r="K14" s="140">
        <v>61</v>
      </c>
      <c r="L14" s="141">
        <v>61.38</v>
      </c>
      <c r="M14" s="139">
        <v>56</v>
      </c>
      <c r="N14" s="140">
        <v>54</v>
      </c>
      <c r="O14" s="141">
        <v>52.84</v>
      </c>
      <c r="P14" s="139">
        <v>81</v>
      </c>
      <c r="Q14" s="140">
        <v>60</v>
      </c>
      <c r="R14" s="141">
        <v>60.46</v>
      </c>
      <c r="S14" s="139">
        <v>62</v>
      </c>
      <c r="T14" s="140">
        <v>55</v>
      </c>
      <c r="U14" s="141">
        <v>54.79</v>
      </c>
      <c r="V14" s="139">
        <v>66</v>
      </c>
      <c r="W14" s="140">
        <v>56</v>
      </c>
      <c r="X14" s="141">
        <v>56.03</v>
      </c>
    </row>
    <row r="15" spans="1:24">
      <c r="A15" s="139">
        <v>70</v>
      </c>
      <c r="B15" s="140">
        <v>57</v>
      </c>
      <c r="C15" s="141">
        <v>57.38</v>
      </c>
      <c r="D15" s="139">
        <v>78</v>
      </c>
      <c r="E15" s="140">
        <v>59</v>
      </c>
      <c r="F15" s="141">
        <v>59.64</v>
      </c>
      <c r="G15" s="139">
        <v>78</v>
      </c>
      <c r="H15" s="140">
        <v>59</v>
      </c>
      <c r="I15" s="141">
        <v>59.64</v>
      </c>
      <c r="J15" s="139">
        <v>82</v>
      </c>
      <c r="K15" s="140">
        <v>60</v>
      </c>
      <c r="L15" s="141">
        <v>60.79</v>
      </c>
      <c r="M15" s="139">
        <v>53</v>
      </c>
      <c r="N15" s="140">
        <v>53</v>
      </c>
      <c r="O15" s="141">
        <v>51.73</v>
      </c>
      <c r="P15" s="139">
        <v>77</v>
      </c>
      <c r="Q15" s="140">
        <v>59</v>
      </c>
      <c r="R15" s="141">
        <v>59.34</v>
      </c>
      <c r="S15" s="139">
        <v>60</v>
      </c>
      <c r="T15" s="140">
        <v>54</v>
      </c>
      <c r="U15" s="141">
        <v>54.2</v>
      </c>
      <c r="V15" s="139">
        <v>62</v>
      </c>
      <c r="W15" s="140">
        <v>55</v>
      </c>
      <c r="X15" s="141">
        <v>54.79</v>
      </c>
    </row>
    <row r="16" spans="1:24">
      <c r="A16" s="139">
        <v>68</v>
      </c>
      <c r="B16" s="140">
        <v>56</v>
      </c>
      <c r="C16" s="141">
        <v>56.73</v>
      </c>
      <c r="D16" s="139">
        <v>75</v>
      </c>
      <c r="E16" s="140">
        <v>58</v>
      </c>
      <c r="F16" s="141">
        <v>58.75</v>
      </c>
      <c r="G16" s="139">
        <v>75</v>
      </c>
      <c r="H16" s="140">
        <v>58</v>
      </c>
      <c r="I16" s="141">
        <v>58.75</v>
      </c>
      <c r="J16" s="139">
        <v>78</v>
      </c>
      <c r="K16" s="140">
        <v>59</v>
      </c>
      <c r="L16" s="141">
        <v>59.64</v>
      </c>
      <c r="M16" s="139">
        <v>49</v>
      </c>
      <c r="N16" s="140">
        <v>52</v>
      </c>
      <c r="O16" s="141">
        <v>50.16</v>
      </c>
      <c r="P16" s="139">
        <v>74</v>
      </c>
      <c r="Q16" s="140">
        <v>58</v>
      </c>
      <c r="R16" s="141">
        <v>58.48</v>
      </c>
      <c r="S16" s="139">
        <v>57</v>
      </c>
      <c r="T16" s="140">
        <v>53</v>
      </c>
      <c r="U16" s="141">
        <v>53.19</v>
      </c>
      <c r="V16" s="139">
        <v>60</v>
      </c>
      <c r="W16" s="140">
        <v>54</v>
      </c>
      <c r="X16" s="141">
        <v>54.2</v>
      </c>
    </row>
    <row r="17" spans="1:24">
      <c r="A17" s="139">
        <v>65</v>
      </c>
      <c r="B17" s="140">
        <v>55</v>
      </c>
      <c r="C17" s="141">
        <v>55.71</v>
      </c>
      <c r="D17" s="139">
        <v>70</v>
      </c>
      <c r="E17" s="140">
        <v>57</v>
      </c>
      <c r="F17" s="141">
        <v>57.38</v>
      </c>
      <c r="G17" s="139">
        <v>72</v>
      </c>
      <c r="H17" s="140">
        <v>57</v>
      </c>
      <c r="I17" s="141">
        <v>57.93</v>
      </c>
      <c r="J17" s="139">
        <v>76</v>
      </c>
      <c r="K17" s="140">
        <v>58</v>
      </c>
      <c r="L17" s="141">
        <v>59.03</v>
      </c>
      <c r="M17" s="139">
        <v>46</v>
      </c>
      <c r="N17" s="140">
        <v>51</v>
      </c>
      <c r="O17" s="141">
        <v>48.99</v>
      </c>
      <c r="P17" s="139">
        <v>71</v>
      </c>
      <c r="Q17" s="140">
        <v>57</v>
      </c>
      <c r="R17" s="141">
        <v>57.66</v>
      </c>
      <c r="S17" s="139">
        <v>55</v>
      </c>
      <c r="T17" s="140">
        <v>52</v>
      </c>
      <c r="U17" s="141">
        <v>52.5</v>
      </c>
      <c r="V17" s="139">
        <v>59</v>
      </c>
      <c r="W17" s="140">
        <v>53</v>
      </c>
      <c r="X17" s="141">
        <v>53.86</v>
      </c>
    </row>
    <row r="18" spans="1:24">
      <c r="A18" s="139">
        <v>63</v>
      </c>
      <c r="B18" s="140">
        <v>54</v>
      </c>
      <c r="C18" s="141">
        <v>55.08</v>
      </c>
      <c r="D18" s="139">
        <v>65</v>
      </c>
      <c r="E18" s="140">
        <v>56</v>
      </c>
      <c r="F18" s="141">
        <v>55.71</v>
      </c>
      <c r="G18" s="139">
        <v>70</v>
      </c>
      <c r="H18" s="140">
        <v>56</v>
      </c>
      <c r="I18" s="141">
        <v>57.38</v>
      </c>
      <c r="J18" s="139">
        <v>71</v>
      </c>
      <c r="K18" s="140">
        <v>57</v>
      </c>
      <c r="L18" s="141">
        <v>57.66</v>
      </c>
      <c r="M18" s="139">
        <v>44</v>
      </c>
      <c r="N18" s="140">
        <v>50</v>
      </c>
      <c r="O18" s="141">
        <v>48.27</v>
      </c>
      <c r="P18" s="139">
        <v>68</v>
      </c>
      <c r="Q18" s="140">
        <v>56</v>
      </c>
      <c r="R18" s="141">
        <v>56.73</v>
      </c>
      <c r="S18" s="139">
        <v>53</v>
      </c>
      <c r="T18" s="140">
        <v>51</v>
      </c>
      <c r="U18" s="141">
        <v>51.73</v>
      </c>
      <c r="V18" s="139">
        <v>56</v>
      </c>
      <c r="W18" s="140">
        <v>52</v>
      </c>
      <c r="X18" s="141">
        <v>52.84</v>
      </c>
    </row>
    <row r="19" spans="1:24">
      <c r="A19" s="139">
        <v>59</v>
      </c>
      <c r="B19" s="140">
        <v>53</v>
      </c>
      <c r="C19" s="141">
        <v>53.86</v>
      </c>
      <c r="D19" s="139">
        <v>61</v>
      </c>
      <c r="E19" s="140">
        <v>55</v>
      </c>
      <c r="F19" s="141">
        <v>54.51</v>
      </c>
      <c r="G19" s="139">
        <v>67</v>
      </c>
      <c r="H19" s="140">
        <v>55</v>
      </c>
      <c r="I19" s="141">
        <v>56.36</v>
      </c>
      <c r="J19" s="139">
        <v>67</v>
      </c>
      <c r="K19" s="140">
        <v>56</v>
      </c>
      <c r="L19" s="141">
        <v>56.36</v>
      </c>
      <c r="M19" s="139">
        <v>42</v>
      </c>
      <c r="N19" s="140">
        <v>49</v>
      </c>
      <c r="O19" s="141">
        <v>47.47</v>
      </c>
      <c r="P19" s="139">
        <v>65</v>
      </c>
      <c r="Q19" s="140">
        <v>55</v>
      </c>
      <c r="R19" s="141">
        <v>55.71</v>
      </c>
      <c r="S19" s="139">
        <v>50</v>
      </c>
      <c r="T19" s="140">
        <v>50</v>
      </c>
      <c r="U19" s="141">
        <v>50.54</v>
      </c>
      <c r="V19" s="139">
        <v>53</v>
      </c>
      <c r="W19" s="140">
        <v>51</v>
      </c>
      <c r="X19" s="141">
        <v>51.73</v>
      </c>
    </row>
    <row r="20" spans="1:24">
      <c r="A20" s="139">
        <v>55</v>
      </c>
      <c r="B20" s="140">
        <v>52</v>
      </c>
      <c r="C20" s="141">
        <v>52.5</v>
      </c>
      <c r="D20" s="139">
        <v>58</v>
      </c>
      <c r="E20" s="140">
        <v>54</v>
      </c>
      <c r="F20" s="141">
        <v>53.53</v>
      </c>
      <c r="G20" s="139">
        <v>63</v>
      </c>
      <c r="H20" s="140">
        <v>54</v>
      </c>
      <c r="I20" s="141">
        <v>55.08</v>
      </c>
      <c r="J20" s="139">
        <v>64</v>
      </c>
      <c r="K20" s="140">
        <v>55</v>
      </c>
      <c r="L20" s="141">
        <v>55.4</v>
      </c>
      <c r="M20" s="139">
        <v>40</v>
      </c>
      <c r="N20" s="140">
        <v>48</v>
      </c>
      <c r="O20" s="141">
        <v>46.78</v>
      </c>
      <c r="P20" s="139">
        <v>62</v>
      </c>
      <c r="Q20" s="140">
        <v>54</v>
      </c>
      <c r="R20" s="141">
        <v>54.79</v>
      </c>
      <c r="S20" s="139">
        <v>47</v>
      </c>
      <c r="T20" s="140">
        <v>49</v>
      </c>
      <c r="U20" s="141">
        <v>49.41</v>
      </c>
      <c r="V20" s="139">
        <v>51</v>
      </c>
      <c r="W20" s="140">
        <v>50</v>
      </c>
      <c r="X20" s="141">
        <v>50.93</v>
      </c>
    </row>
    <row r="21" spans="1:24">
      <c r="A21" s="139">
        <v>53</v>
      </c>
      <c r="B21" s="140">
        <v>51</v>
      </c>
      <c r="C21" s="141">
        <v>51.73</v>
      </c>
      <c r="D21" s="139">
        <v>55</v>
      </c>
      <c r="E21" s="140">
        <v>53</v>
      </c>
      <c r="F21" s="141">
        <v>52.5</v>
      </c>
      <c r="G21" s="139">
        <v>59</v>
      </c>
      <c r="H21" s="140">
        <v>53</v>
      </c>
      <c r="I21" s="141">
        <v>53.86</v>
      </c>
      <c r="J21" s="139">
        <v>61</v>
      </c>
      <c r="K21" s="140">
        <v>54</v>
      </c>
      <c r="L21" s="141">
        <v>54.51</v>
      </c>
      <c r="M21" s="139">
        <v>37</v>
      </c>
      <c r="N21" s="140">
        <v>47</v>
      </c>
      <c r="O21" s="141">
        <v>45.69</v>
      </c>
      <c r="P21" s="139">
        <v>59</v>
      </c>
      <c r="Q21" s="140">
        <v>53</v>
      </c>
      <c r="R21" s="141">
        <v>53.86</v>
      </c>
      <c r="S21" s="139">
        <v>46</v>
      </c>
      <c r="T21" s="140">
        <v>48</v>
      </c>
      <c r="U21" s="141">
        <v>48.99</v>
      </c>
      <c r="V21" s="139">
        <v>49</v>
      </c>
      <c r="W21" s="140">
        <v>49</v>
      </c>
      <c r="X21" s="141">
        <v>50.16</v>
      </c>
    </row>
    <row r="22" spans="1:24">
      <c r="A22" s="139">
        <v>51</v>
      </c>
      <c r="B22" s="140">
        <v>50</v>
      </c>
      <c r="C22" s="141">
        <v>50.93</v>
      </c>
      <c r="D22" s="139">
        <v>52</v>
      </c>
      <c r="E22" s="140">
        <v>52</v>
      </c>
      <c r="F22" s="141">
        <v>51.35</v>
      </c>
      <c r="G22" s="139">
        <v>57</v>
      </c>
      <c r="H22" s="140">
        <v>52</v>
      </c>
      <c r="I22" s="141">
        <v>53.19</v>
      </c>
      <c r="J22" s="139">
        <v>58</v>
      </c>
      <c r="K22" s="140">
        <v>53</v>
      </c>
      <c r="L22" s="141">
        <v>53.53</v>
      </c>
      <c r="M22" s="139">
        <v>36</v>
      </c>
      <c r="N22" s="140">
        <v>46</v>
      </c>
      <c r="O22" s="141">
        <v>45.31</v>
      </c>
      <c r="P22" s="139">
        <v>55</v>
      </c>
      <c r="Q22" s="140">
        <v>52</v>
      </c>
      <c r="R22" s="141">
        <v>52.5</v>
      </c>
      <c r="S22" s="139">
        <v>43</v>
      </c>
      <c r="T22" s="140">
        <v>47</v>
      </c>
      <c r="U22" s="141">
        <v>47.87</v>
      </c>
      <c r="V22" s="139">
        <v>46</v>
      </c>
      <c r="W22" s="140">
        <v>48</v>
      </c>
      <c r="X22" s="141">
        <v>48.99</v>
      </c>
    </row>
    <row r="23" spans="1:24">
      <c r="A23" s="139">
        <v>49</v>
      </c>
      <c r="B23" s="140">
        <v>49</v>
      </c>
      <c r="C23" s="141">
        <v>50.16</v>
      </c>
      <c r="D23" s="139">
        <v>49</v>
      </c>
      <c r="E23" s="140">
        <v>51</v>
      </c>
      <c r="F23" s="141">
        <v>50.16</v>
      </c>
      <c r="G23" s="139">
        <v>54</v>
      </c>
      <c r="H23" s="140">
        <v>51</v>
      </c>
      <c r="I23" s="141">
        <v>52.11</v>
      </c>
      <c r="J23" s="139">
        <v>55</v>
      </c>
      <c r="K23" s="140">
        <v>52</v>
      </c>
      <c r="L23" s="141">
        <v>52.5</v>
      </c>
      <c r="M23" s="139">
        <v>33</v>
      </c>
      <c r="N23" s="140">
        <v>45</v>
      </c>
      <c r="O23" s="141">
        <v>44.23</v>
      </c>
      <c r="P23" s="139">
        <v>51</v>
      </c>
      <c r="Q23" s="140">
        <v>51</v>
      </c>
      <c r="R23" s="141">
        <v>50.93</v>
      </c>
      <c r="S23" s="139">
        <v>40</v>
      </c>
      <c r="T23" s="140">
        <v>46</v>
      </c>
      <c r="U23" s="141">
        <v>46.78</v>
      </c>
      <c r="V23" s="139">
        <v>43</v>
      </c>
      <c r="W23" s="140">
        <v>47</v>
      </c>
      <c r="X23" s="141">
        <v>47.87</v>
      </c>
    </row>
    <row r="24" spans="1:24">
      <c r="A24" s="139">
        <v>45</v>
      </c>
      <c r="B24" s="140">
        <v>48</v>
      </c>
      <c r="C24" s="141">
        <v>48.62</v>
      </c>
      <c r="D24" s="139">
        <v>47</v>
      </c>
      <c r="E24" s="140">
        <v>50</v>
      </c>
      <c r="F24" s="141">
        <v>49.41</v>
      </c>
      <c r="G24" s="139">
        <v>52</v>
      </c>
      <c r="H24" s="140">
        <v>50</v>
      </c>
      <c r="I24" s="141">
        <v>51.35</v>
      </c>
      <c r="J24" s="139">
        <v>52</v>
      </c>
      <c r="K24" s="140">
        <v>51</v>
      </c>
      <c r="L24" s="141">
        <v>51.35</v>
      </c>
      <c r="M24" s="139">
        <v>31</v>
      </c>
      <c r="N24" s="140">
        <v>44</v>
      </c>
      <c r="O24" s="141">
        <v>43.56</v>
      </c>
      <c r="P24" s="139">
        <v>49</v>
      </c>
      <c r="Q24" s="140">
        <v>50</v>
      </c>
      <c r="R24" s="141">
        <v>50.16</v>
      </c>
      <c r="S24" s="139">
        <v>38</v>
      </c>
      <c r="T24" s="140">
        <v>45</v>
      </c>
      <c r="U24" s="141">
        <v>46.08</v>
      </c>
      <c r="V24" s="139">
        <v>41</v>
      </c>
      <c r="W24" s="140">
        <v>46</v>
      </c>
      <c r="X24" s="141">
        <v>47.12</v>
      </c>
    </row>
    <row r="25" spans="1:24">
      <c r="A25" s="139">
        <v>42</v>
      </c>
      <c r="B25" s="140">
        <v>47</v>
      </c>
      <c r="C25" s="141">
        <v>47.47</v>
      </c>
      <c r="D25" s="139">
        <v>44</v>
      </c>
      <c r="E25" s="140">
        <v>49</v>
      </c>
      <c r="F25" s="141">
        <v>48.27</v>
      </c>
      <c r="G25" s="139">
        <v>49</v>
      </c>
      <c r="H25" s="140">
        <v>49</v>
      </c>
      <c r="I25" s="141">
        <v>50.16</v>
      </c>
      <c r="J25" s="139">
        <v>49</v>
      </c>
      <c r="K25" s="140">
        <v>50</v>
      </c>
      <c r="L25" s="141">
        <v>50.16</v>
      </c>
      <c r="M25" s="139">
        <v>29</v>
      </c>
      <c r="N25" s="140">
        <v>43</v>
      </c>
      <c r="O25" s="141">
        <v>42.96</v>
      </c>
      <c r="P25" s="139">
        <v>46</v>
      </c>
      <c r="Q25" s="140">
        <v>49</v>
      </c>
      <c r="R25" s="141">
        <v>48.99</v>
      </c>
      <c r="S25" s="139">
        <v>35</v>
      </c>
      <c r="T25" s="140">
        <v>44</v>
      </c>
      <c r="U25" s="141">
        <v>44.95</v>
      </c>
      <c r="V25" s="139">
        <v>38</v>
      </c>
      <c r="W25" s="140">
        <v>45</v>
      </c>
      <c r="X25" s="141">
        <v>46.08</v>
      </c>
    </row>
    <row r="26" spans="1:24">
      <c r="A26" s="139">
        <v>39</v>
      </c>
      <c r="B26" s="140">
        <v>46</v>
      </c>
      <c r="C26" s="141">
        <v>46.45</v>
      </c>
      <c r="D26" s="139">
        <v>42</v>
      </c>
      <c r="E26" s="140">
        <v>48</v>
      </c>
      <c r="F26" s="141">
        <v>47.47</v>
      </c>
      <c r="G26" s="139">
        <v>46</v>
      </c>
      <c r="H26" s="140">
        <v>48</v>
      </c>
      <c r="I26" s="141">
        <v>48.99</v>
      </c>
      <c r="J26" s="139">
        <v>47</v>
      </c>
      <c r="K26" s="140">
        <v>49</v>
      </c>
      <c r="L26" s="141">
        <v>49.41</v>
      </c>
      <c r="M26" s="139">
        <v>27</v>
      </c>
      <c r="N26" s="140">
        <v>42</v>
      </c>
      <c r="O26" s="141">
        <v>42.27</v>
      </c>
      <c r="P26" s="139">
        <v>44</v>
      </c>
      <c r="Q26" s="140">
        <v>48</v>
      </c>
      <c r="R26" s="141">
        <v>48.27</v>
      </c>
      <c r="S26" s="139">
        <v>31</v>
      </c>
      <c r="T26" s="140">
        <v>43</v>
      </c>
      <c r="U26" s="141">
        <v>43.56</v>
      </c>
      <c r="V26" s="139">
        <v>34</v>
      </c>
      <c r="W26" s="140">
        <v>44</v>
      </c>
      <c r="X26" s="141">
        <v>44.6</v>
      </c>
    </row>
    <row r="27" spans="1:24">
      <c r="A27" s="139">
        <v>37</v>
      </c>
      <c r="B27" s="140">
        <v>45</v>
      </c>
      <c r="C27" s="141">
        <v>45.69</v>
      </c>
      <c r="D27" s="139">
        <v>40</v>
      </c>
      <c r="E27" s="140">
        <v>47</v>
      </c>
      <c r="F27" s="141">
        <v>46.78</v>
      </c>
      <c r="G27" s="139">
        <v>44</v>
      </c>
      <c r="H27" s="140">
        <v>47</v>
      </c>
      <c r="I27" s="141">
        <v>48.27</v>
      </c>
      <c r="J27" s="139">
        <v>44</v>
      </c>
      <c r="K27" s="140">
        <v>48</v>
      </c>
      <c r="L27" s="141">
        <v>48.27</v>
      </c>
      <c r="M27" s="139">
        <v>25</v>
      </c>
      <c r="N27" s="140">
        <v>41</v>
      </c>
      <c r="O27" s="141">
        <v>41.59</v>
      </c>
      <c r="P27" s="139">
        <v>41</v>
      </c>
      <c r="Q27" s="140">
        <v>47</v>
      </c>
      <c r="R27" s="141">
        <v>47.12</v>
      </c>
      <c r="S27" s="139">
        <v>29</v>
      </c>
      <c r="T27" s="140">
        <v>42</v>
      </c>
      <c r="U27" s="141">
        <v>42.96</v>
      </c>
      <c r="V27" s="139">
        <v>30</v>
      </c>
      <c r="W27" s="140">
        <v>43</v>
      </c>
      <c r="X27" s="141">
        <v>43.25</v>
      </c>
    </row>
    <row r="28" spans="1:24">
      <c r="A28" s="139">
        <v>34</v>
      </c>
      <c r="B28" s="140">
        <v>44</v>
      </c>
      <c r="C28" s="141">
        <v>44.6</v>
      </c>
      <c r="D28" s="139">
        <v>37</v>
      </c>
      <c r="E28" s="140">
        <v>46</v>
      </c>
      <c r="F28" s="141">
        <v>45.69</v>
      </c>
      <c r="G28" s="139">
        <v>40</v>
      </c>
      <c r="H28" s="140">
        <v>46</v>
      </c>
      <c r="I28" s="141">
        <v>46.78</v>
      </c>
      <c r="J28" s="139">
        <v>41</v>
      </c>
      <c r="K28" s="140">
        <v>47</v>
      </c>
      <c r="L28" s="141">
        <v>47.12</v>
      </c>
      <c r="M28" s="139">
        <v>22</v>
      </c>
      <c r="N28" s="140">
        <v>40</v>
      </c>
      <c r="O28" s="141">
        <v>40.54</v>
      </c>
      <c r="P28" s="139">
        <v>38</v>
      </c>
      <c r="Q28" s="140">
        <v>46</v>
      </c>
      <c r="R28" s="141">
        <v>46.08</v>
      </c>
      <c r="S28" s="139">
        <v>25</v>
      </c>
      <c r="T28" s="140">
        <v>41</v>
      </c>
      <c r="U28" s="141">
        <v>41.59</v>
      </c>
      <c r="V28" s="139">
        <v>28</v>
      </c>
      <c r="W28" s="140">
        <v>42</v>
      </c>
      <c r="X28" s="141">
        <v>42.63</v>
      </c>
    </row>
    <row r="29" spans="1:24">
      <c r="A29" s="139">
        <v>30</v>
      </c>
      <c r="B29" s="140">
        <v>43</v>
      </c>
      <c r="C29" s="141">
        <v>43.25</v>
      </c>
      <c r="D29" s="139">
        <v>35</v>
      </c>
      <c r="E29" s="140">
        <v>45</v>
      </c>
      <c r="F29" s="141">
        <v>44.95</v>
      </c>
      <c r="G29" s="139">
        <v>36</v>
      </c>
      <c r="H29" s="140">
        <v>45</v>
      </c>
      <c r="I29" s="141">
        <v>45.31</v>
      </c>
      <c r="J29" s="139">
        <v>38</v>
      </c>
      <c r="K29" s="140">
        <v>46</v>
      </c>
      <c r="L29" s="141">
        <v>46.08</v>
      </c>
      <c r="M29" s="139">
        <v>20</v>
      </c>
      <c r="N29" s="140">
        <v>39</v>
      </c>
      <c r="O29" s="141">
        <v>39.840000000000003</v>
      </c>
      <c r="P29" s="139">
        <v>36</v>
      </c>
      <c r="Q29" s="140">
        <v>45</v>
      </c>
      <c r="R29" s="141">
        <v>45.31</v>
      </c>
      <c r="S29" s="139">
        <v>21</v>
      </c>
      <c r="T29" s="140">
        <v>40</v>
      </c>
      <c r="U29" s="141">
        <v>40.18</v>
      </c>
      <c r="V29" s="139">
        <v>25</v>
      </c>
      <c r="W29" s="140">
        <v>41</v>
      </c>
      <c r="X29" s="141">
        <v>41.59</v>
      </c>
    </row>
    <row r="30" spans="1:24">
      <c r="A30" s="139">
        <v>26</v>
      </c>
      <c r="B30" s="140">
        <v>42</v>
      </c>
      <c r="C30" s="141">
        <v>41.93</v>
      </c>
      <c r="D30" s="139">
        <v>33</v>
      </c>
      <c r="E30" s="140">
        <v>44</v>
      </c>
      <c r="F30" s="141">
        <v>44.23</v>
      </c>
      <c r="G30" s="139">
        <v>33</v>
      </c>
      <c r="H30" s="140">
        <v>44</v>
      </c>
      <c r="I30" s="141">
        <v>44.23</v>
      </c>
      <c r="J30" s="139">
        <v>35</v>
      </c>
      <c r="K30" s="140">
        <v>45</v>
      </c>
      <c r="L30" s="141">
        <v>44.95</v>
      </c>
      <c r="M30" s="139">
        <v>17</v>
      </c>
      <c r="N30" s="140">
        <v>38</v>
      </c>
      <c r="O30" s="141">
        <v>38.75</v>
      </c>
      <c r="P30" s="139">
        <v>32</v>
      </c>
      <c r="Q30" s="140">
        <v>44</v>
      </c>
      <c r="R30" s="141">
        <v>43.9</v>
      </c>
      <c r="S30" s="139">
        <v>18</v>
      </c>
      <c r="T30" s="140">
        <v>39</v>
      </c>
      <c r="U30" s="141">
        <v>39.130000000000003</v>
      </c>
      <c r="V30" s="139">
        <v>21</v>
      </c>
      <c r="W30" s="140">
        <v>40</v>
      </c>
      <c r="X30" s="141">
        <v>40.18</v>
      </c>
    </row>
    <row r="31" spans="1:24">
      <c r="A31" s="139">
        <v>23</v>
      </c>
      <c r="B31" s="140">
        <v>41</v>
      </c>
      <c r="C31" s="141">
        <v>40.9</v>
      </c>
      <c r="D31" s="139">
        <v>29</v>
      </c>
      <c r="E31" s="140">
        <v>43</v>
      </c>
      <c r="F31" s="141">
        <v>42.96</v>
      </c>
      <c r="G31" s="139">
        <v>29</v>
      </c>
      <c r="H31" s="140">
        <v>43</v>
      </c>
      <c r="I31" s="141">
        <v>42.96</v>
      </c>
      <c r="J31" s="139">
        <v>32</v>
      </c>
      <c r="K31" s="140">
        <v>44</v>
      </c>
      <c r="L31" s="141">
        <v>43.9</v>
      </c>
      <c r="M31" s="139">
        <v>14</v>
      </c>
      <c r="N31" s="140">
        <v>37</v>
      </c>
      <c r="O31" s="141">
        <v>37.65</v>
      </c>
      <c r="P31" s="139">
        <v>28</v>
      </c>
      <c r="Q31" s="140">
        <v>43</v>
      </c>
      <c r="R31" s="141">
        <v>42.63</v>
      </c>
      <c r="S31" s="139">
        <v>14</v>
      </c>
      <c r="T31" s="140">
        <v>38</v>
      </c>
      <c r="U31" s="141">
        <v>37.65</v>
      </c>
      <c r="V31" s="139">
        <v>16</v>
      </c>
      <c r="W31" s="140">
        <v>39</v>
      </c>
      <c r="X31" s="141">
        <v>38.39</v>
      </c>
    </row>
    <row r="32" spans="1:24">
      <c r="A32" s="139">
        <v>20</v>
      </c>
      <c r="B32" s="140">
        <v>40</v>
      </c>
      <c r="C32" s="141">
        <v>39.840000000000003</v>
      </c>
      <c r="D32" s="139">
        <v>26</v>
      </c>
      <c r="E32" s="140">
        <v>42</v>
      </c>
      <c r="F32" s="141">
        <v>41.93</v>
      </c>
      <c r="G32" s="139">
        <v>26</v>
      </c>
      <c r="H32" s="140">
        <v>42</v>
      </c>
      <c r="I32" s="141">
        <v>41.93</v>
      </c>
      <c r="J32" s="139">
        <v>29</v>
      </c>
      <c r="K32" s="140">
        <v>43</v>
      </c>
      <c r="L32" s="141">
        <v>42.96</v>
      </c>
      <c r="M32" s="139">
        <v>12</v>
      </c>
      <c r="N32" s="140">
        <v>36</v>
      </c>
      <c r="O32" s="141">
        <v>36.92</v>
      </c>
      <c r="P32" s="139">
        <v>26</v>
      </c>
      <c r="Q32" s="140">
        <v>42</v>
      </c>
      <c r="R32" s="141">
        <v>41.93</v>
      </c>
      <c r="S32" s="139">
        <v>10</v>
      </c>
      <c r="T32" s="140">
        <v>37</v>
      </c>
      <c r="U32" s="141">
        <v>36.159999999999997</v>
      </c>
      <c r="V32" s="139">
        <v>13</v>
      </c>
      <c r="W32" s="140">
        <v>38</v>
      </c>
      <c r="X32" s="141">
        <v>37.28</v>
      </c>
    </row>
    <row r="33" spans="1:24">
      <c r="A33" s="139">
        <v>17</v>
      </c>
      <c r="B33" s="140">
        <v>39</v>
      </c>
      <c r="C33" s="141">
        <v>38.75</v>
      </c>
      <c r="D33" s="139">
        <v>23</v>
      </c>
      <c r="E33" s="140">
        <v>41</v>
      </c>
      <c r="F33" s="141">
        <v>40.9</v>
      </c>
      <c r="G33" s="139">
        <v>23</v>
      </c>
      <c r="H33" s="140">
        <v>41</v>
      </c>
      <c r="I33" s="141">
        <v>40.9</v>
      </c>
      <c r="J33" s="139">
        <v>26</v>
      </c>
      <c r="K33" s="140">
        <v>42</v>
      </c>
      <c r="L33" s="141">
        <v>41.93</v>
      </c>
      <c r="M33" s="139">
        <v>10</v>
      </c>
      <c r="N33" s="140">
        <v>35</v>
      </c>
      <c r="O33" s="141">
        <v>36.159999999999997</v>
      </c>
      <c r="P33" s="139">
        <v>23</v>
      </c>
      <c r="Q33" s="140">
        <v>41</v>
      </c>
      <c r="R33" s="141">
        <v>40.9</v>
      </c>
      <c r="S33" s="139">
        <v>7</v>
      </c>
      <c r="T33" s="140">
        <v>36</v>
      </c>
      <c r="U33" s="141">
        <v>34.97</v>
      </c>
      <c r="V33" s="139">
        <v>11</v>
      </c>
      <c r="W33" s="140">
        <v>37</v>
      </c>
      <c r="X33" s="141">
        <v>36.590000000000003</v>
      </c>
    </row>
    <row r="34" spans="1:24">
      <c r="A34" s="139">
        <v>14</v>
      </c>
      <c r="B34" s="140">
        <v>38</v>
      </c>
      <c r="C34" s="141">
        <v>37.65</v>
      </c>
      <c r="D34" s="139">
        <v>20</v>
      </c>
      <c r="E34" s="140">
        <v>40</v>
      </c>
      <c r="F34" s="141">
        <v>39.840000000000003</v>
      </c>
      <c r="G34" s="139">
        <v>20</v>
      </c>
      <c r="H34" s="140">
        <v>40</v>
      </c>
      <c r="I34" s="141">
        <v>39.840000000000003</v>
      </c>
      <c r="J34" s="139">
        <v>23</v>
      </c>
      <c r="K34" s="140">
        <v>41</v>
      </c>
      <c r="L34" s="141">
        <v>40.9</v>
      </c>
      <c r="M34" s="139">
        <v>7</v>
      </c>
      <c r="N34" s="140">
        <v>34</v>
      </c>
      <c r="O34" s="141">
        <v>34.97</v>
      </c>
      <c r="P34" s="139">
        <v>20</v>
      </c>
      <c r="Q34" s="140">
        <v>40</v>
      </c>
      <c r="R34" s="141">
        <v>39.840000000000003</v>
      </c>
      <c r="S34" s="139">
        <v>6</v>
      </c>
      <c r="T34" s="140">
        <v>35</v>
      </c>
      <c r="U34" s="141">
        <v>34.46</v>
      </c>
      <c r="V34" s="139">
        <v>8</v>
      </c>
      <c r="W34" s="140">
        <v>36</v>
      </c>
      <c r="X34" s="141">
        <v>35.43</v>
      </c>
    </row>
    <row r="35" spans="1:24">
      <c r="A35" s="139">
        <v>10</v>
      </c>
      <c r="B35" s="140">
        <v>37</v>
      </c>
      <c r="C35" s="141">
        <v>36.159999999999997</v>
      </c>
      <c r="D35" s="139">
        <v>18</v>
      </c>
      <c r="E35" s="140">
        <v>39</v>
      </c>
      <c r="F35" s="141">
        <v>39.130000000000003</v>
      </c>
      <c r="G35" s="139">
        <v>17</v>
      </c>
      <c r="H35" s="140">
        <v>39</v>
      </c>
      <c r="I35" s="141">
        <v>38.75</v>
      </c>
      <c r="J35" s="139">
        <v>20</v>
      </c>
      <c r="K35" s="140">
        <v>40</v>
      </c>
      <c r="L35" s="141">
        <v>39.840000000000003</v>
      </c>
      <c r="M35" s="139">
        <v>4</v>
      </c>
      <c r="N35" s="140">
        <v>33</v>
      </c>
      <c r="O35" s="141">
        <v>33.35</v>
      </c>
      <c r="P35" s="139">
        <v>18</v>
      </c>
      <c r="Q35" s="140">
        <v>39</v>
      </c>
      <c r="R35" s="141">
        <v>39.130000000000003</v>
      </c>
      <c r="S35" s="139">
        <v>3</v>
      </c>
      <c r="T35" s="140">
        <v>34</v>
      </c>
      <c r="U35" s="141">
        <v>32.450000000000003</v>
      </c>
      <c r="V35" s="139">
        <v>5</v>
      </c>
      <c r="W35" s="140">
        <v>35</v>
      </c>
      <c r="X35" s="141">
        <v>33.93</v>
      </c>
    </row>
    <row r="36" spans="1:24">
      <c r="A36" s="139">
        <v>7</v>
      </c>
      <c r="B36" s="140">
        <v>36</v>
      </c>
      <c r="C36" s="141">
        <v>34.97</v>
      </c>
      <c r="D36" s="139">
        <v>15</v>
      </c>
      <c r="E36" s="140">
        <v>38</v>
      </c>
      <c r="F36" s="141">
        <v>38.04</v>
      </c>
      <c r="G36" s="139">
        <v>12</v>
      </c>
      <c r="H36" s="140">
        <v>38</v>
      </c>
      <c r="I36" s="141">
        <v>36.92</v>
      </c>
      <c r="J36" s="139">
        <v>17</v>
      </c>
      <c r="K36" s="140">
        <v>39</v>
      </c>
      <c r="L36" s="141">
        <v>38.75</v>
      </c>
      <c r="M36" s="139">
        <v>3</v>
      </c>
      <c r="N36" s="140">
        <v>32</v>
      </c>
      <c r="O36" s="141">
        <v>32.450000000000003</v>
      </c>
      <c r="P36" s="139">
        <v>15</v>
      </c>
      <c r="Q36" s="140">
        <v>38</v>
      </c>
      <c r="R36" s="141">
        <v>38.04</v>
      </c>
      <c r="S36" s="139">
        <v>2</v>
      </c>
      <c r="T36" s="140">
        <v>33</v>
      </c>
      <c r="U36" s="141">
        <v>31.6</v>
      </c>
      <c r="V36" s="139">
        <v>3</v>
      </c>
      <c r="W36" s="140">
        <v>34</v>
      </c>
      <c r="X36" s="141">
        <v>32.450000000000003</v>
      </c>
    </row>
    <row r="37" spans="1:24">
      <c r="A37" s="139">
        <v>6</v>
      </c>
      <c r="B37" s="140">
        <v>35</v>
      </c>
      <c r="C37" s="141">
        <v>34.46</v>
      </c>
      <c r="D37" s="139">
        <v>12</v>
      </c>
      <c r="E37" s="140">
        <v>37</v>
      </c>
      <c r="F37" s="141">
        <v>36.92</v>
      </c>
      <c r="G37" s="139">
        <v>9</v>
      </c>
      <c r="H37" s="140">
        <v>37</v>
      </c>
      <c r="I37" s="141">
        <v>35.799999999999997</v>
      </c>
      <c r="J37" s="139">
        <v>15</v>
      </c>
      <c r="K37" s="140">
        <v>38</v>
      </c>
      <c r="L37" s="141">
        <v>38.04</v>
      </c>
      <c r="M37" s="139">
        <v>2</v>
      </c>
      <c r="N37" s="140">
        <v>31</v>
      </c>
      <c r="O37" s="141">
        <v>31.6</v>
      </c>
      <c r="P37" s="139">
        <v>12</v>
      </c>
      <c r="Q37" s="140">
        <v>37</v>
      </c>
      <c r="R37" s="141">
        <v>36.92</v>
      </c>
      <c r="S37" s="139">
        <v>1</v>
      </c>
      <c r="T37" s="140">
        <v>32</v>
      </c>
      <c r="U37" s="141">
        <v>30.5</v>
      </c>
      <c r="V37" s="139">
        <v>2</v>
      </c>
      <c r="W37" s="140">
        <v>33</v>
      </c>
      <c r="X37" s="141">
        <v>31.6</v>
      </c>
    </row>
    <row r="38" spans="1:24" ht="17.25" thickBot="1">
      <c r="A38" s="139">
        <v>4</v>
      </c>
      <c r="B38" s="140">
        <v>34</v>
      </c>
      <c r="C38" s="141">
        <v>33.35</v>
      </c>
      <c r="D38" s="139">
        <v>10</v>
      </c>
      <c r="E38" s="140">
        <v>36</v>
      </c>
      <c r="F38" s="141">
        <v>36.159999999999997</v>
      </c>
      <c r="G38" s="139">
        <v>6</v>
      </c>
      <c r="H38" s="140">
        <v>36</v>
      </c>
      <c r="I38" s="141">
        <v>34.46</v>
      </c>
      <c r="J38" s="139">
        <v>12</v>
      </c>
      <c r="K38" s="140">
        <v>37</v>
      </c>
      <c r="L38" s="141">
        <v>36.92</v>
      </c>
      <c r="M38" s="139">
        <v>1</v>
      </c>
      <c r="N38" s="140">
        <v>30</v>
      </c>
      <c r="O38" s="141">
        <v>30.5</v>
      </c>
      <c r="P38" s="139">
        <v>8</v>
      </c>
      <c r="Q38" s="140">
        <v>36</v>
      </c>
      <c r="R38" s="141">
        <v>35.43</v>
      </c>
      <c r="S38" s="142">
        <v>0</v>
      </c>
      <c r="T38" s="143" t="s">
        <v>367</v>
      </c>
      <c r="U38" s="144">
        <v>28.9</v>
      </c>
      <c r="V38" s="139">
        <v>1</v>
      </c>
      <c r="W38" s="140">
        <v>32</v>
      </c>
      <c r="X38" s="141">
        <v>30.5</v>
      </c>
    </row>
    <row r="39" spans="1:24" ht="17.25" thickBot="1">
      <c r="A39" s="139">
        <v>3</v>
      </c>
      <c r="B39" s="140">
        <v>33</v>
      </c>
      <c r="C39" s="141">
        <v>32.450000000000003</v>
      </c>
      <c r="D39" s="139">
        <v>8</v>
      </c>
      <c r="E39" s="140">
        <v>35</v>
      </c>
      <c r="F39" s="141">
        <v>35.43</v>
      </c>
      <c r="G39" s="139">
        <v>5</v>
      </c>
      <c r="H39" s="140">
        <v>35</v>
      </c>
      <c r="I39" s="141">
        <v>33.93</v>
      </c>
      <c r="J39" s="139">
        <v>10</v>
      </c>
      <c r="K39" s="140">
        <v>36</v>
      </c>
      <c r="L39" s="141">
        <v>36.159999999999997</v>
      </c>
      <c r="M39" s="142">
        <v>0</v>
      </c>
      <c r="N39" s="143" t="s">
        <v>368</v>
      </c>
      <c r="O39" s="144">
        <v>28.9</v>
      </c>
      <c r="P39" s="139">
        <v>5</v>
      </c>
      <c r="Q39" s="140">
        <v>35</v>
      </c>
      <c r="R39" s="141">
        <v>33.93</v>
      </c>
      <c r="S39" s="151">
        <v>0</v>
      </c>
      <c r="T39" s="151">
        <v>0</v>
      </c>
      <c r="U39" s="152">
        <v>0</v>
      </c>
      <c r="V39" s="142">
        <v>0</v>
      </c>
      <c r="W39" s="143" t="s">
        <v>367</v>
      </c>
      <c r="X39" s="144">
        <v>28.9</v>
      </c>
    </row>
    <row r="40" spans="1:24">
      <c r="A40" s="139">
        <v>1</v>
      </c>
      <c r="B40" s="140">
        <v>32</v>
      </c>
      <c r="C40" s="141">
        <v>30.5</v>
      </c>
      <c r="D40" s="139">
        <v>6</v>
      </c>
      <c r="E40" s="140">
        <v>34</v>
      </c>
      <c r="F40" s="141">
        <v>34.46</v>
      </c>
      <c r="G40" s="139">
        <v>3</v>
      </c>
      <c r="H40" s="140">
        <v>34</v>
      </c>
      <c r="I40" s="141">
        <v>32.450000000000003</v>
      </c>
      <c r="J40" s="139">
        <v>7</v>
      </c>
      <c r="K40" s="140">
        <v>35</v>
      </c>
      <c r="L40" s="141">
        <v>34.97</v>
      </c>
      <c r="M40" s="151">
        <v>0</v>
      </c>
      <c r="N40" s="151">
        <v>0</v>
      </c>
      <c r="O40" s="152">
        <v>0</v>
      </c>
      <c r="P40" s="139">
        <v>4</v>
      </c>
      <c r="Q40" s="140">
        <v>34</v>
      </c>
      <c r="R40" s="141">
        <v>33.35</v>
      </c>
      <c r="S40" s="153"/>
      <c r="T40" s="154"/>
      <c r="U40" s="154"/>
      <c r="V40" s="151">
        <v>0</v>
      </c>
      <c r="W40" s="151">
        <v>0</v>
      </c>
      <c r="X40" s="152">
        <v>0</v>
      </c>
    </row>
    <row r="41" spans="1:24">
      <c r="A41" s="139">
        <v>1</v>
      </c>
      <c r="B41" s="140">
        <v>31</v>
      </c>
      <c r="C41" s="141">
        <v>29.7</v>
      </c>
      <c r="D41" s="139">
        <v>4</v>
      </c>
      <c r="E41" s="140">
        <v>33</v>
      </c>
      <c r="F41" s="141">
        <v>33.35</v>
      </c>
      <c r="G41" s="139">
        <v>2</v>
      </c>
      <c r="H41" s="140">
        <v>33</v>
      </c>
      <c r="I41" s="141">
        <v>31.6</v>
      </c>
      <c r="J41" s="139">
        <v>4</v>
      </c>
      <c r="K41" s="140">
        <v>34</v>
      </c>
      <c r="L41" s="141">
        <v>33.35</v>
      </c>
      <c r="M41" s="153"/>
      <c r="N41" s="154"/>
      <c r="O41" s="155"/>
      <c r="P41" s="139">
        <v>2</v>
      </c>
      <c r="Q41" s="140">
        <v>33</v>
      </c>
      <c r="R41" s="141">
        <v>31.6</v>
      </c>
      <c r="S41" s="153"/>
      <c r="T41" s="154"/>
      <c r="U41" s="154"/>
      <c r="V41" s="154"/>
      <c r="W41" s="154"/>
      <c r="X41" s="155"/>
    </row>
    <row r="42" spans="1:24" ht="17.25" thickBot="1">
      <c r="A42" s="142">
        <v>0</v>
      </c>
      <c r="B42" s="143" t="s">
        <v>358</v>
      </c>
      <c r="C42" s="144">
        <v>28.9</v>
      </c>
      <c r="D42" s="139">
        <v>3</v>
      </c>
      <c r="E42" s="140">
        <v>32</v>
      </c>
      <c r="F42" s="141">
        <v>32.450000000000003</v>
      </c>
      <c r="G42" s="139">
        <v>1</v>
      </c>
      <c r="H42" s="140">
        <v>32</v>
      </c>
      <c r="I42" s="141">
        <v>30.5</v>
      </c>
      <c r="J42" s="139">
        <v>3</v>
      </c>
      <c r="K42" s="140">
        <v>33</v>
      </c>
      <c r="L42" s="141">
        <v>32.450000000000003</v>
      </c>
      <c r="M42" s="153"/>
      <c r="N42" s="154"/>
      <c r="O42" s="155"/>
      <c r="P42" s="139">
        <v>2</v>
      </c>
      <c r="Q42" s="140">
        <v>32</v>
      </c>
      <c r="R42" s="141">
        <v>31.05</v>
      </c>
      <c r="S42" s="153"/>
      <c r="T42" s="154"/>
      <c r="U42" s="154"/>
      <c r="V42" s="154"/>
      <c r="W42" s="154"/>
      <c r="X42" s="155"/>
    </row>
    <row r="43" spans="1:24">
      <c r="A43" s="151">
        <v>0</v>
      </c>
      <c r="B43" s="151">
        <v>0</v>
      </c>
      <c r="C43" s="152">
        <v>0</v>
      </c>
      <c r="D43" s="139">
        <v>2</v>
      </c>
      <c r="E43" s="140">
        <v>31</v>
      </c>
      <c r="F43" s="141">
        <v>31.6</v>
      </c>
      <c r="G43" s="139">
        <v>1</v>
      </c>
      <c r="H43" s="140">
        <v>31</v>
      </c>
      <c r="I43" s="141">
        <v>29.7</v>
      </c>
      <c r="J43" s="139">
        <v>2</v>
      </c>
      <c r="K43" s="140">
        <v>32</v>
      </c>
      <c r="L43" s="141">
        <v>31.6</v>
      </c>
      <c r="M43" s="153"/>
      <c r="N43" s="154"/>
      <c r="O43" s="155"/>
      <c r="P43" s="139">
        <v>1</v>
      </c>
      <c r="Q43" s="140">
        <v>31</v>
      </c>
      <c r="R43" s="141">
        <v>30.5</v>
      </c>
      <c r="S43" s="153"/>
      <c r="T43" s="154"/>
      <c r="U43" s="154"/>
      <c r="V43" s="154"/>
      <c r="W43" s="154"/>
      <c r="X43" s="155"/>
    </row>
    <row r="44" spans="1:24" ht="17.25" thickBot="1">
      <c r="A44" s="154"/>
      <c r="B44" s="154"/>
      <c r="C44" s="155"/>
      <c r="D44" s="139">
        <v>1</v>
      </c>
      <c r="E44" s="140">
        <v>30</v>
      </c>
      <c r="F44" s="141">
        <v>30.5</v>
      </c>
      <c r="G44" s="142">
        <v>0</v>
      </c>
      <c r="H44" s="143" t="s">
        <v>358</v>
      </c>
      <c r="I44" s="144">
        <v>28.9</v>
      </c>
      <c r="J44" s="139">
        <v>1</v>
      </c>
      <c r="K44" s="140">
        <v>31</v>
      </c>
      <c r="L44" s="141">
        <v>30.5</v>
      </c>
      <c r="M44" s="153"/>
      <c r="N44" s="154"/>
      <c r="O44" s="155"/>
      <c r="P44" s="139">
        <v>1</v>
      </c>
      <c r="Q44" s="140">
        <v>30</v>
      </c>
      <c r="R44" s="141">
        <v>29.7</v>
      </c>
      <c r="S44" s="153"/>
      <c r="T44" s="154"/>
      <c r="U44" s="154"/>
      <c r="V44" s="154"/>
      <c r="W44" s="154"/>
      <c r="X44" s="155"/>
    </row>
    <row r="45" spans="1:24" ht="17.25" thickBot="1">
      <c r="A45" s="154"/>
      <c r="B45" s="154"/>
      <c r="C45" s="155"/>
      <c r="D45" s="139">
        <v>1</v>
      </c>
      <c r="E45" s="140">
        <v>29</v>
      </c>
      <c r="F45" s="141">
        <v>29.7</v>
      </c>
      <c r="G45" s="151">
        <v>0</v>
      </c>
      <c r="H45" s="151">
        <v>0</v>
      </c>
      <c r="I45" s="152">
        <v>0</v>
      </c>
      <c r="J45" s="139">
        <v>1</v>
      </c>
      <c r="K45" s="140">
        <v>30</v>
      </c>
      <c r="L45" s="141">
        <v>29.7</v>
      </c>
      <c r="M45" s="153"/>
      <c r="N45" s="154"/>
      <c r="O45" s="155"/>
      <c r="P45" s="142">
        <v>0</v>
      </c>
      <c r="Q45" s="143" t="s">
        <v>368</v>
      </c>
      <c r="R45" s="144">
        <v>28.9</v>
      </c>
      <c r="S45" s="153"/>
      <c r="T45" s="154"/>
      <c r="U45" s="154"/>
      <c r="V45" s="154"/>
      <c r="W45" s="154"/>
      <c r="X45" s="155"/>
    </row>
    <row r="46" spans="1:24" ht="17.25" thickBot="1">
      <c r="A46" s="154"/>
      <c r="B46" s="154"/>
      <c r="C46" s="155"/>
      <c r="D46" s="142">
        <v>0</v>
      </c>
      <c r="E46" s="143" t="s">
        <v>369</v>
      </c>
      <c r="F46" s="144">
        <v>28.9</v>
      </c>
      <c r="G46" s="153"/>
      <c r="H46" s="154"/>
      <c r="I46" s="155"/>
      <c r="J46" s="142">
        <v>0</v>
      </c>
      <c r="K46" s="143" t="s">
        <v>368</v>
      </c>
      <c r="L46" s="144">
        <v>28.9</v>
      </c>
      <c r="M46" s="153"/>
      <c r="N46" s="154"/>
      <c r="O46" s="154"/>
      <c r="P46" s="151">
        <v>0</v>
      </c>
      <c r="Q46" s="151">
        <v>0</v>
      </c>
      <c r="R46" s="152">
        <v>0</v>
      </c>
      <c r="S46" s="154"/>
      <c r="T46" s="154"/>
      <c r="U46" s="154"/>
      <c r="V46" s="154"/>
      <c r="W46" s="154"/>
      <c r="X46" s="155"/>
    </row>
    <row r="47" spans="1:24">
      <c r="A47" s="154"/>
      <c r="B47" s="154"/>
      <c r="C47" s="154"/>
      <c r="D47" s="151">
        <v>0</v>
      </c>
      <c r="E47" s="151">
        <v>0</v>
      </c>
      <c r="F47" s="152">
        <v>0</v>
      </c>
      <c r="G47" s="154"/>
      <c r="H47" s="154"/>
      <c r="I47" s="154"/>
      <c r="J47" s="151">
        <v>0</v>
      </c>
      <c r="K47" s="151">
        <v>0</v>
      </c>
      <c r="L47" s="152">
        <v>0</v>
      </c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5"/>
    </row>
    <row r="48" spans="1:24">
      <c r="A48" s="154"/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5"/>
    </row>
    <row r="49" spans="1:24">
      <c r="A49" s="154"/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5"/>
    </row>
    <row r="50" spans="1:24">
      <c r="A50" s="154"/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5"/>
    </row>
    <row r="51" spans="1:24">
      <c r="A51" s="154"/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5"/>
    </row>
    <row r="52" spans="1:24">
      <c r="A52" s="154"/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5"/>
    </row>
    <row r="53" spans="1:24">
      <c r="A53" s="154"/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5"/>
    </row>
    <row r="54" spans="1:24">
      <c r="A54" s="154"/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5"/>
    </row>
    <row r="55" spans="1:24">
      <c r="A55" s="154"/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5"/>
    </row>
    <row r="56" spans="1:24">
      <c r="A56" s="154"/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5"/>
    </row>
    <row r="57" spans="1:24">
      <c r="A57" s="154"/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5"/>
    </row>
    <row r="58" spans="1:24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5"/>
    </row>
    <row r="59" spans="1:24">
      <c r="A59" s="154"/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5"/>
    </row>
    <row r="60" spans="1:24">
      <c r="A60" s="154"/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5"/>
    </row>
    <row r="61" spans="1:24">
      <c r="A61" s="154"/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5"/>
    </row>
    <row r="62" spans="1:24">
      <c r="A62" s="154"/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5"/>
    </row>
    <row r="63" spans="1:24">
      <c r="A63" s="154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5"/>
    </row>
    <row r="64" spans="1:24">
      <c r="A64" s="154"/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5"/>
    </row>
    <row r="65" spans="1:24">
      <c r="A65" s="154"/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5"/>
    </row>
    <row r="66" spans="1:24">
      <c r="A66" s="154"/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5"/>
    </row>
    <row r="67" spans="1:24">
      <c r="A67" s="154"/>
      <c r="B67" s="154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5"/>
    </row>
    <row r="68" spans="1:24">
      <c r="A68" s="154"/>
      <c r="B68" s="154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5"/>
    </row>
    <row r="69" spans="1:24">
      <c r="A69" s="154"/>
      <c r="B69" s="154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55"/>
    </row>
    <row r="70" spans="1:24">
      <c r="A70" s="154"/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5"/>
    </row>
    <row r="71" spans="1:24">
      <c r="A71" s="154"/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5"/>
    </row>
    <row r="72" spans="1:24">
      <c r="A72" s="154"/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5"/>
    </row>
  </sheetData>
  <sheetProtection algorithmName="SHA-512" hashValue="IH6RizD2f3LwbyySohFS5e2Y6liatNHWfCLpCrDXhLWVu74eOBAMFIurGhUb0kUjzSrgnR1YQGpx6Te1jIG9SA==" saltValue="RKWxRq4zC7YdcFyZ8FfNKA==" spinCount="100000" sheet="1" objects="1" scenarios="1" selectLockedCells="1" selectUnlockedCells="1"/>
  <mergeCells count="8">
    <mergeCell ref="V1:X1"/>
    <mergeCell ref="A1:C1"/>
    <mergeCell ref="D1:F1"/>
    <mergeCell ref="G1:I1"/>
    <mergeCell ref="J1:L1"/>
    <mergeCell ref="M1:O1"/>
    <mergeCell ref="P1:R1"/>
    <mergeCell ref="S1:U1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X52"/>
  <sheetViews>
    <sheetView topLeftCell="D1" zoomScale="85" zoomScaleNormal="85" workbookViewId="0">
      <selection activeCell="A43" sqref="A43:C43"/>
    </sheetView>
  </sheetViews>
  <sheetFormatPr defaultRowHeight="16.5"/>
  <sheetData>
    <row r="1" spans="1:24">
      <c r="A1" s="330" t="s">
        <v>359</v>
      </c>
      <c r="B1" s="331"/>
      <c r="C1" s="332"/>
      <c r="D1" s="330" t="s">
        <v>360</v>
      </c>
      <c r="E1" s="331"/>
      <c r="F1" s="332"/>
      <c r="G1" s="330" t="s">
        <v>361</v>
      </c>
      <c r="H1" s="331"/>
      <c r="I1" s="332"/>
      <c r="J1" s="330" t="s">
        <v>362</v>
      </c>
      <c r="K1" s="331"/>
      <c r="L1" s="332"/>
      <c r="M1" s="330" t="s">
        <v>363</v>
      </c>
      <c r="N1" s="331"/>
      <c r="O1" s="332"/>
      <c r="P1" s="330" t="s">
        <v>364</v>
      </c>
      <c r="Q1" s="331"/>
      <c r="R1" s="332"/>
      <c r="S1" s="330" t="s">
        <v>365</v>
      </c>
      <c r="T1" s="331"/>
      <c r="U1" s="332"/>
      <c r="V1" s="330" t="s">
        <v>366</v>
      </c>
      <c r="W1" s="331"/>
      <c r="X1" s="332"/>
    </row>
    <row r="2" spans="1:24" ht="17.25" thickBot="1">
      <c r="A2" s="136" t="s">
        <v>2</v>
      </c>
      <c r="B2" s="137" t="s">
        <v>4</v>
      </c>
      <c r="C2" s="138" t="s">
        <v>357</v>
      </c>
      <c r="D2" s="145" t="s">
        <v>2</v>
      </c>
      <c r="E2" s="146" t="s">
        <v>4</v>
      </c>
      <c r="F2" s="147" t="s">
        <v>357</v>
      </c>
      <c r="G2" s="145" t="s">
        <v>2</v>
      </c>
      <c r="H2" s="146" t="s">
        <v>4</v>
      </c>
      <c r="I2" s="147" t="s">
        <v>357</v>
      </c>
      <c r="J2" s="145" t="s">
        <v>2</v>
      </c>
      <c r="K2" s="146" t="s">
        <v>4</v>
      </c>
      <c r="L2" s="147" t="s">
        <v>357</v>
      </c>
      <c r="M2" s="145" t="s">
        <v>2</v>
      </c>
      <c r="N2" s="146" t="s">
        <v>4</v>
      </c>
      <c r="O2" s="147" t="s">
        <v>357</v>
      </c>
      <c r="P2" s="145" t="s">
        <v>2</v>
      </c>
      <c r="Q2" s="146" t="s">
        <v>4</v>
      </c>
      <c r="R2" s="147" t="s">
        <v>357</v>
      </c>
      <c r="S2" s="145" t="s">
        <v>2</v>
      </c>
      <c r="T2" s="146" t="s">
        <v>4</v>
      </c>
      <c r="U2" s="147" t="s">
        <v>357</v>
      </c>
      <c r="V2" s="145" t="s">
        <v>2</v>
      </c>
      <c r="W2" s="146" t="s">
        <v>4</v>
      </c>
      <c r="X2" s="147" t="s">
        <v>357</v>
      </c>
    </row>
    <row r="3" spans="1:24">
      <c r="A3" s="139">
        <v>99</v>
      </c>
      <c r="B3" s="140">
        <v>69</v>
      </c>
      <c r="C3" s="141">
        <v>68.5</v>
      </c>
      <c r="D3" s="148">
        <v>100</v>
      </c>
      <c r="E3" s="149">
        <v>71</v>
      </c>
      <c r="F3" s="150">
        <v>69.62</v>
      </c>
      <c r="G3" s="148">
        <v>100</v>
      </c>
      <c r="H3" s="149">
        <v>71</v>
      </c>
      <c r="I3" s="150">
        <v>69.62</v>
      </c>
      <c r="J3" s="148">
        <v>100</v>
      </c>
      <c r="K3" s="149">
        <v>73</v>
      </c>
      <c r="L3" s="150">
        <v>69.62</v>
      </c>
      <c r="M3" s="148">
        <v>99</v>
      </c>
      <c r="N3" s="149">
        <v>66</v>
      </c>
      <c r="O3" s="150">
        <v>68.5</v>
      </c>
      <c r="P3" s="148">
        <v>100</v>
      </c>
      <c r="Q3" s="149">
        <v>72</v>
      </c>
      <c r="R3" s="150">
        <v>69.62</v>
      </c>
      <c r="S3" s="148">
        <v>98</v>
      </c>
      <c r="T3" s="149">
        <v>67</v>
      </c>
      <c r="U3" s="150">
        <v>67.25</v>
      </c>
      <c r="V3" s="148">
        <v>99</v>
      </c>
      <c r="W3" s="149">
        <v>68</v>
      </c>
      <c r="X3" s="150">
        <v>68.5</v>
      </c>
    </row>
    <row r="4" spans="1:24">
      <c r="A4" s="139">
        <v>98</v>
      </c>
      <c r="B4" s="140">
        <v>68</v>
      </c>
      <c r="C4" s="141">
        <v>67.25</v>
      </c>
      <c r="D4" s="139">
        <v>100</v>
      </c>
      <c r="E4" s="140">
        <v>70</v>
      </c>
      <c r="F4" s="141">
        <v>69.239999999999995</v>
      </c>
      <c r="G4" s="139">
        <v>99</v>
      </c>
      <c r="H4" s="140">
        <v>70</v>
      </c>
      <c r="I4" s="141">
        <v>68.5</v>
      </c>
      <c r="J4" s="139">
        <v>100</v>
      </c>
      <c r="K4" s="140">
        <v>71</v>
      </c>
      <c r="L4" s="141">
        <v>68.87</v>
      </c>
      <c r="M4" s="139">
        <v>98</v>
      </c>
      <c r="N4" s="140">
        <v>64</v>
      </c>
      <c r="O4" s="141">
        <v>67.25</v>
      </c>
      <c r="P4" s="139">
        <v>99</v>
      </c>
      <c r="Q4" s="140">
        <v>70</v>
      </c>
      <c r="R4" s="141">
        <v>68.5</v>
      </c>
      <c r="S4" s="139">
        <v>94</v>
      </c>
      <c r="T4" s="140">
        <v>65</v>
      </c>
      <c r="U4" s="141">
        <v>64.81</v>
      </c>
      <c r="V4" s="139">
        <v>97</v>
      </c>
      <c r="W4" s="140">
        <v>66</v>
      </c>
      <c r="X4" s="141">
        <v>66.459999999999994</v>
      </c>
    </row>
    <row r="5" spans="1:24">
      <c r="A5" s="139">
        <v>97</v>
      </c>
      <c r="B5" s="140">
        <v>67</v>
      </c>
      <c r="C5" s="141">
        <v>66.459999999999994</v>
      </c>
      <c r="D5" s="139">
        <v>100</v>
      </c>
      <c r="E5" s="140">
        <v>69</v>
      </c>
      <c r="F5" s="141">
        <v>68.87</v>
      </c>
      <c r="G5" s="139">
        <v>98</v>
      </c>
      <c r="H5" s="140">
        <v>69</v>
      </c>
      <c r="I5" s="141">
        <v>67.25</v>
      </c>
      <c r="J5" s="139">
        <v>99</v>
      </c>
      <c r="K5" s="140">
        <v>70</v>
      </c>
      <c r="L5" s="141">
        <v>68.5</v>
      </c>
      <c r="M5" s="139">
        <v>94</v>
      </c>
      <c r="N5" s="140">
        <v>63</v>
      </c>
      <c r="O5" s="141">
        <v>64.81</v>
      </c>
      <c r="P5" s="139">
        <v>99</v>
      </c>
      <c r="Q5" s="140">
        <v>69</v>
      </c>
      <c r="R5" s="141">
        <v>67.87</v>
      </c>
      <c r="S5" s="139">
        <v>91</v>
      </c>
      <c r="T5" s="140">
        <v>64</v>
      </c>
      <c r="U5" s="141">
        <v>63.53</v>
      </c>
      <c r="V5" s="139">
        <v>94</v>
      </c>
      <c r="W5" s="140">
        <v>65</v>
      </c>
      <c r="X5" s="141">
        <v>64.81</v>
      </c>
    </row>
    <row r="6" spans="1:24">
      <c r="A6" s="139">
        <v>95</v>
      </c>
      <c r="B6" s="140">
        <v>66</v>
      </c>
      <c r="C6" s="141">
        <v>65.319999999999993</v>
      </c>
      <c r="D6" s="139">
        <v>99</v>
      </c>
      <c r="E6" s="140">
        <v>68</v>
      </c>
      <c r="F6" s="141">
        <v>68.5</v>
      </c>
      <c r="G6" s="139">
        <v>97</v>
      </c>
      <c r="H6" s="140">
        <v>68</v>
      </c>
      <c r="I6" s="141">
        <v>66.459999999999994</v>
      </c>
      <c r="J6" s="139">
        <v>99</v>
      </c>
      <c r="K6" s="140">
        <v>69</v>
      </c>
      <c r="L6" s="141">
        <v>67.87</v>
      </c>
      <c r="M6" s="139">
        <v>90</v>
      </c>
      <c r="N6" s="140">
        <v>62</v>
      </c>
      <c r="O6" s="141">
        <v>63.13</v>
      </c>
      <c r="P6" s="139">
        <v>98</v>
      </c>
      <c r="Q6" s="140">
        <v>68</v>
      </c>
      <c r="R6" s="141">
        <v>67.25</v>
      </c>
      <c r="S6" s="139">
        <v>89</v>
      </c>
      <c r="T6" s="140">
        <v>63</v>
      </c>
      <c r="U6" s="141">
        <v>62.78</v>
      </c>
      <c r="V6" s="139">
        <v>91</v>
      </c>
      <c r="W6" s="140">
        <v>64</v>
      </c>
      <c r="X6" s="141">
        <v>63.53</v>
      </c>
    </row>
    <row r="7" spans="1:24">
      <c r="A7" s="139">
        <v>94</v>
      </c>
      <c r="B7" s="140">
        <v>65</v>
      </c>
      <c r="C7" s="141">
        <v>64.81</v>
      </c>
      <c r="D7" s="139">
        <v>98</v>
      </c>
      <c r="E7" s="140">
        <v>67</v>
      </c>
      <c r="F7" s="141">
        <v>67.25</v>
      </c>
      <c r="G7" s="139">
        <v>96</v>
      </c>
      <c r="H7" s="140">
        <v>67</v>
      </c>
      <c r="I7" s="141">
        <v>65.83</v>
      </c>
      <c r="J7" s="139">
        <v>98</v>
      </c>
      <c r="K7" s="140">
        <v>68</v>
      </c>
      <c r="L7" s="141">
        <v>67.25</v>
      </c>
      <c r="M7" s="139">
        <v>86</v>
      </c>
      <c r="N7" s="140">
        <v>61</v>
      </c>
      <c r="O7" s="141">
        <v>61.82</v>
      </c>
      <c r="P7" s="139">
        <v>96</v>
      </c>
      <c r="Q7" s="140">
        <v>67</v>
      </c>
      <c r="R7" s="141">
        <v>65.83</v>
      </c>
      <c r="S7" s="139">
        <v>86</v>
      </c>
      <c r="T7" s="140">
        <v>62</v>
      </c>
      <c r="U7" s="141">
        <v>61.82</v>
      </c>
      <c r="V7" s="139">
        <v>87</v>
      </c>
      <c r="W7" s="140">
        <v>63</v>
      </c>
      <c r="X7" s="141">
        <v>62.17</v>
      </c>
    </row>
    <row r="8" spans="1:24">
      <c r="A8" s="139">
        <v>91</v>
      </c>
      <c r="B8" s="140">
        <v>64</v>
      </c>
      <c r="C8" s="141">
        <v>63.53</v>
      </c>
      <c r="D8" s="139">
        <v>97</v>
      </c>
      <c r="E8" s="140">
        <v>66</v>
      </c>
      <c r="F8" s="141">
        <v>66.459999999999994</v>
      </c>
      <c r="G8" s="139">
        <v>94</v>
      </c>
      <c r="H8" s="140">
        <v>66</v>
      </c>
      <c r="I8" s="141">
        <v>64.81</v>
      </c>
      <c r="J8" s="139">
        <v>97</v>
      </c>
      <c r="K8" s="140">
        <v>67</v>
      </c>
      <c r="L8" s="141">
        <v>66.459999999999994</v>
      </c>
      <c r="M8" s="139">
        <v>83</v>
      </c>
      <c r="N8" s="140">
        <v>60</v>
      </c>
      <c r="O8" s="141">
        <v>60.8</v>
      </c>
      <c r="P8" s="139">
        <v>95</v>
      </c>
      <c r="Q8" s="140">
        <v>66</v>
      </c>
      <c r="R8" s="141">
        <v>65.319999999999993</v>
      </c>
      <c r="S8" s="139">
        <v>81</v>
      </c>
      <c r="T8" s="140">
        <v>61</v>
      </c>
      <c r="U8" s="141">
        <v>60.21</v>
      </c>
      <c r="V8" s="139">
        <v>85</v>
      </c>
      <c r="W8" s="140">
        <v>62</v>
      </c>
      <c r="X8" s="141">
        <v>61.47</v>
      </c>
    </row>
    <row r="9" spans="1:24">
      <c r="A9" s="139">
        <v>88</v>
      </c>
      <c r="B9" s="140">
        <v>63</v>
      </c>
      <c r="C9" s="141">
        <v>62.47</v>
      </c>
      <c r="D9" s="139">
        <v>96</v>
      </c>
      <c r="E9" s="140">
        <v>65</v>
      </c>
      <c r="F9" s="141">
        <v>65.83</v>
      </c>
      <c r="G9" s="139">
        <v>93</v>
      </c>
      <c r="H9" s="140">
        <v>65</v>
      </c>
      <c r="I9" s="141">
        <v>64.36</v>
      </c>
      <c r="J9" s="139">
        <v>96</v>
      </c>
      <c r="K9" s="140">
        <v>66</v>
      </c>
      <c r="L9" s="141">
        <v>65.83</v>
      </c>
      <c r="M9" s="139">
        <v>78</v>
      </c>
      <c r="N9" s="140">
        <v>59</v>
      </c>
      <c r="O9" s="141">
        <v>59.32</v>
      </c>
      <c r="P9" s="139">
        <v>93</v>
      </c>
      <c r="Q9" s="140">
        <v>65</v>
      </c>
      <c r="R9" s="141">
        <v>64.36</v>
      </c>
      <c r="S9" s="139">
        <v>78</v>
      </c>
      <c r="T9" s="140">
        <v>60</v>
      </c>
      <c r="U9" s="141">
        <v>59.32</v>
      </c>
      <c r="V9" s="139">
        <v>82</v>
      </c>
      <c r="W9" s="140">
        <v>61</v>
      </c>
      <c r="X9" s="141">
        <v>60.48</v>
      </c>
    </row>
    <row r="10" spans="1:24">
      <c r="A10" s="139">
        <v>85</v>
      </c>
      <c r="B10" s="140">
        <v>62</v>
      </c>
      <c r="C10" s="141">
        <v>61.47</v>
      </c>
      <c r="D10" s="139">
        <v>94</v>
      </c>
      <c r="E10" s="140">
        <v>64</v>
      </c>
      <c r="F10" s="141">
        <v>64.81</v>
      </c>
      <c r="G10" s="139">
        <v>91</v>
      </c>
      <c r="H10" s="140">
        <v>64</v>
      </c>
      <c r="I10" s="141">
        <v>63.53</v>
      </c>
      <c r="J10" s="139">
        <v>94</v>
      </c>
      <c r="K10" s="140">
        <v>65</v>
      </c>
      <c r="L10" s="141">
        <v>64.81</v>
      </c>
      <c r="M10" s="139">
        <v>72</v>
      </c>
      <c r="N10" s="140">
        <v>58</v>
      </c>
      <c r="O10" s="141">
        <v>57.6</v>
      </c>
      <c r="P10" s="139">
        <v>92</v>
      </c>
      <c r="Q10" s="140">
        <v>64</v>
      </c>
      <c r="R10" s="141">
        <v>63.91</v>
      </c>
      <c r="S10" s="139">
        <v>75</v>
      </c>
      <c r="T10" s="140">
        <v>59</v>
      </c>
      <c r="U10" s="141">
        <v>58.42</v>
      </c>
      <c r="V10" s="139">
        <v>78</v>
      </c>
      <c r="W10" s="140">
        <v>60</v>
      </c>
      <c r="X10" s="141">
        <v>59.32</v>
      </c>
    </row>
    <row r="11" spans="1:24">
      <c r="A11" s="139">
        <v>83</v>
      </c>
      <c r="B11" s="140">
        <v>61</v>
      </c>
      <c r="C11" s="141">
        <v>60.8</v>
      </c>
      <c r="D11" s="139">
        <v>91</v>
      </c>
      <c r="E11" s="140">
        <v>63</v>
      </c>
      <c r="F11" s="141">
        <v>63.53</v>
      </c>
      <c r="G11" s="139">
        <v>88</v>
      </c>
      <c r="H11" s="140">
        <v>63</v>
      </c>
      <c r="I11" s="141">
        <v>62.47</v>
      </c>
      <c r="J11" s="139">
        <v>92</v>
      </c>
      <c r="K11" s="140">
        <v>64</v>
      </c>
      <c r="L11" s="141">
        <v>63.91</v>
      </c>
      <c r="M11" s="139">
        <v>69</v>
      </c>
      <c r="N11" s="140">
        <v>57</v>
      </c>
      <c r="O11" s="141">
        <v>56.56</v>
      </c>
      <c r="P11" s="139">
        <v>90</v>
      </c>
      <c r="Q11" s="140">
        <v>63</v>
      </c>
      <c r="R11" s="141">
        <v>63.13</v>
      </c>
      <c r="S11" s="139">
        <v>71</v>
      </c>
      <c r="T11" s="140">
        <v>58</v>
      </c>
      <c r="U11" s="141">
        <v>57.27</v>
      </c>
      <c r="V11" s="139">
        <v>74</v>
      </c>
      <c r="W11" s="140">
        <v>59</v>
      </c>
      <c r="X11" s="141">
        <v>58.17</v>
      </c>
    </row>
    <row r="12" spans="1:24">
      <c r="A12" s="139">
        <v>80</v>
      </c>
      <c r="B12" s="140">
        <v>60</v>
      </c>
      <c r="C12" s="141">
        <v>59.91</v>
      </c>
      <c r="D12" s="139">
        <v>89</v>
      </c>
      <c r="E12" s="140">
        <v>62</v>
      </c>
      <c r="F12" s="141">
        <v>62.78</v>
      </c>
      <c r="G12" s="139">
        <v>85</v>
      </c>
      <c r="H12" s="140">
        <v>62</v>
      </c>
      <c r="I12" s="141">
        <v>61.47</v>
      </c>
      <c r="J12" s="139">
        <v>90</v>
      </c>
      <c r="K12" s="140">
        <v>63</v>
      </c>
      <c r="L12" s="141">
        <v>63.13</v>
      </c>
      <c r="M12" s="139">
        <v>64</v>
      </c>
      <c r="N12" s="140">
        <v>56</v>
      </c>
      <c r="O12" s="141">
        <v>55.14</v>
      </c>
      <c r="P12" s="139">
        <v>87</v>
      </c>
      <c r="Q12" s="140">
        <v>62</v>
      </c>
      <c r="R12" s="141">
        <v>62.17</v>
      </c>
      <c r="S12" s="139">
        <v>69</v>
      </c>
      <c r="T12" s="140">
        <v>57</v>
      </c>
      <c r="U12" s="141">
        <v>56.56</v>
      </c>
      <c r="V12" s="139">
        <v>72</v>
      </c>
      <c r="W12" s="140">
        <v>58</v>
      </c>
      <c r="X12" s="141">
        <v>57.6</v>
      </c>
    </row>
    <row r="13" spans="1:24">
      <c r="A13" s="139">
        <v>77</v>
      </c>
      <c r="B13" s="140">
        <v>59</v>
      </c>
      <c r="C13" s="141">
        <v>59.01</v>
      </c>
      <c r="D13" s="139">
        <v>85</v>
      </c>
      <c r="E13" s="140">
        <v>61</v>
      </c>
      <c r="F13" s="141">
        <v>61.47</v>
      </c>
      <c r="G13" s="139">
        <v>82</v>
      </c>
      <c r="H13" s="140">
        <v>61</v>
      </c>
      <c r="I13" s="141">
        <v>60.48</v>
      </c>
      <c r="J13" s="139">
        <v>87</v>
      </c>
      <c r="K13" s="140">
        <v>62</v>
      </c>
      <c r="L13" s="141">
        <v>62.17</v>
      </c>
      <c r="M13" s="139">
        <v>59</v>
      </c>
      <c r="N13" s="140">
        <v>55</v>
      </c>
      <c r="O13" s="141">
        <v>53.54</v>
      </c>
      <c r="P13" s="139">
        <v>85</v>
      </c>
      <c r="Q13" s="140">
        <v>61</v>
      </c>
      <c r="R13" s="141">
        <v>61.47</v>
      </c>
      <c r="S13" s="139">
        <v>66</v>
      </c>
      <c r="T13" s="140">
        <v>56</v>
      </c>
      <c r="U13" s="141">
        <v>55.71</v>
      </c>
      <c r="V13" s="139">
        <v>70</v>
      </c>
      <c r="W13" s="140">
        <v>57</v>
      </c>
      <c r="X13" s="141">
        <v>56.9</v>
      </c>
    </row>
    <row r="14" spans="1:24">
      <c r="A14" s="139">
        <v>73</v>
      </c>
      <c r="B14" s="140">
        <v>58</v>
      </c>
      <c r="C14" s="141">
        <v>57.89</v>
      </c>
      <c r="D14" s="139">
        <v>82</v>
      </c>
      <c r="E14" s="140">
        <v>60</v>
      </c>
      <c r="F14" s="141">
        <v>60.48</v>
      </c>
      <c r="G14" s="139">
        <v>80</v>
      </c>
      <c r="H14" s="140">
        <v>60</v>
      </c>
      <c r="I14" s="141">
        <v>59.91</v>
      </c>
      <c r="J14" s="139">
        <v>84</v>
      </c>
      <c r="K14" s="140">
        <v>61</v>
      </c>
      <c r="L14" s="141">
        <v>61.14</v>
      </c>
      <c r="M14" s="139">
        <v>56</v>
      </c>
      <c r="N14" s="140">
        <v>54</v>
      </c>
      <c r="O14" s="141">
        <v>52.54</v>
      </c>
      <c r="P14" s="139">
        <v>81</v>
      </c>
      <c r="Q14" s="140">
        <v>60</v>
      </c>
      <c r="R14" s="141">
        <v>60.21</v>
      </c>
      <c r="S14" s="139">
        <v>62</v>
      </c>
      <c r="T14" s="140">
        <v>55</v>
      </c>
      <c r="U14" s="141">
        <v>54.58</v>
      </c>
      <c r="V14" s="139">
        <v>66</v>
      </c>
      <c r="W14" s="140">
        <v>56</v>
      </c>
      <c r="X14" s="141">
        <v>55.71</v>
      </c>
    </row>
    <row r="15" spans="1:24">
      <c r="A15" s="139">
        <v>70</v>
      </c>
      <c r="B15" s="140">
        <v>57</v>
      </c>
      <c r="C15" s="141">
        <v>56.9</v>
      </c>
      <c r="D15" s="139">
        <v>78</v>
      </c>
      <c r="E15" s="140">
        <v>59</v>
      </c>
      <c r="F15" s="141">
        <v>59.32</v>
      </c>
      <c r="G15" s="139">
        <v>78</v>
      </c>
      <c r="H15" s="140">
        <v>59</v>
      </c>
      <c r="I15" s="141">
        <v>59.32</v>
      </c>
      <c r="J15" s="139">
        <v>82</v>
      </c>
      <c r="K15" s="140">
        <v>60</v>
      </c>
      <c r="L15" s="141">
        <v>60.48</v>
      </c>
      <c r="M15" s="139">
        <v>53</v>
      </c>
      <c r="N15" s="140">
        <v>53</v>
      </c>
      <c r="O15" s="141">
        <v>51.45</v>
      </c>
      <c r="P15" s="139">
        <v>77</v>
      </c>
      <c r="Q15" s="140">
        <v>59</v>
      </c>
      <c r="R15" s="141">
        <v>59.01</v>
      </c>
      <c r="S15" s="139">
        <v>60</v>
      </c>
      <c r="T15" s="140">
        <v>54</v>
      </c>
      <c r="U15" s="141">
        <v>53.92</v>
      </c>
      <c r="V15" s="139">
        <v>62</v>
      </c>
      <c r="W15" s="140">
        <v>55</v>
      </c>
      <c r="X15" s="141">
        <v>54.58</v>
      </c>
    </row>
    <row r="16" spans="1:24">
      <c r="A16" s="139">
        <v>68</v>
      </c>
      <c r="B16" s="140">
        <v>56</v>
      </c>
      <c r="C16" s="141">
        <v>56.26</v>
      </c>
      <c r="D16" s="139">
        <v>75</v>
      </c>
      <c r="E16" s="140">
        <v>58</v>
      </c>
      <c r="F16" s="141">
        <v>58.42</v>
      </c>
      <c r="G16" s="139">
        <v>75</v>
      </c>
      <c r="H16" s="140">
        <v>58</v>
      </c>
      <c r="I16" s="141">
        <v>58.42</v>
      </c>
      <c r="J16" s="139">
        <v>78</v>
      </c>
      <c r="K16" s="140">
        <v>59</v>
      </c>
      <c r="L16" s="141">
        <v>59.32</v>
      </c>
      <c r="M16" s="139">
        <v>49</v>
      </c>
      <c r="N16" s="140">
        <v>52</v>
      </c>
      <c r="O16" s="141">
        <v>49.95</v>
      </c>
      <c r="P16" s="139">
        <v>74</v>
      </c>
      <c r="Q16" s="140">
        <v>58</v>
      </c>
      <c r="R16" s="141">
        <v>58.17</v>
      </c>
      <c r="S16" s="139">
        <v>57</v>
      </c>
      <c r="T16" s="140">
        <v>53</v>
      </c>
      <c r="U16" s="141">
        <v>52.87</v>
      </c>
      <c r="V16" s="139">
        <v>60</v>
      </c>
      <c r="W16" s="140">
        <v>54</v>
      </c>
      <c r="X16" s="141">
        <v>53.92</v>
      </c>
    </row>
    <row r="17" spans="1:24">
      <c r="A17" s="139">
        <v>65</v>
      </c>
      <c r="B17" s="140">
        <v>55</v>
      </c>
      <c r="C17" s="141">
        <v>55.44</v>
      </c>
      <c r="D17" s="139">
        <v>70</v>
      </c>
      <c r="E17" s="140">
        <v>57</v>
      </c>
      <c r="F17" s="141">
        <v>56.9</v>
      </c>
      <c r="G17" s="139">
        <v>72</v>
      </c>
      <c r="H17" s="140">
        <v>57</v>
      </c>
      <c r="I17" s="141">
        <v>57.6</v>
      </c>
      <c r="J17" s="139">
        <v>76</v>
      </c>
      <c r="K17" s="140">
        <v>58</v>
      </c>
      <c r="L17" s="141">
        <v>58.69</v>
      </c>
      <c r="M17" s="139">
        <v>46</v>
      </c>
      <c r="N17" s="140">
        <v>51</v>
      </c>
      <c r="O17" s="141">
        <v>48.82</v>
      </c>
      <c r="P17" s="139">
        <v>71</v>
      </c>
      <c r="Q17" s="140">
        <v>57</v>
      </c>
      <c r="R17" s="141">
        <v>57.27</v>
      </c>
      <c r="S17" s="139">
        <v>55</v>
      </c>
      <c r="T17" s="140">
        <v>52</v>
      </c>
      <c r="U17" s="141">
        <v>52.2</v>
      </c>
      <c r="V17" s="139">
        <v>59</v>
      </c>
      <c r="W17" s="140">
        <v>53</v>
      </c>
      <c r="X17" s="141">
        <v>53.54</v>
      </c>
    </row>
    <row r="18" spans="1:24">
      <c r="A18" s="139">
        <v>63</v>
      </c>
      <c r="B18" s="140">
        <v>54</v>
      </c>
      <c r="C18" s="141">
        <v>54.85</v>
      </c>
      <c r="D18" s="139">
        <v>65</v>
      </c>
      <c r="E18" s="140">
        <v>56</v>
      </c>
      <c r="F18" s="141">
        <v>55.44</v>
      </c>
      <c r="G18" s="139">
        <v>70</v>
      </c>
      <c r="H18" s="140">
        <v>56</v>
      </c>
      <c r="I18" s="141">
        <v>56.9</v>
      </c>
      <c r="J18" s="139">
        <v>71</v>
      </c>
      <c r="K18" s="140">
        <v>57</v>
      </c>
      <c r="L18" s="141">
        <v>57.27</v>
      </c>
      <c r="M18" s="139">
        <v>44</v>
      </c>
      <c r="N18" s="140">
        <v>50</v>
      </c>
      <c r="O18" s="141">
        <v>48.04</v>
      </c>
      <c r="P18" s="139">
        <v>68</v>
      </c>
      <c r="Q18" s="140">
        <v>56</v>
      </c>
      <c r="R18" s="141">
        <v>56.26</v>
      </c>
      <c r="S18" s="139">
        <v>53</v>
      </c>
      <c r="T18" s="140">
        <v>51</v>
      </c>
      <c r="U18" s="141">
        <v>51.45</v>
      </c>
      <c r="V18" s="139">
        <v>56</v>
      </c>
      <c r="W18" s="140">
        <v>52</v>
      </c>
      <c r="X18" s="141">
        <v>52.54</v>
      </c>
    </row>
    <row r="19" spans="1:24">
      <c r="A19" s="139">
        <v>59</v>
      </c>
      <c r="B19" s="140">
        <v>53</v>
      </c>
      <c r="C19" s="141">
        <v>53.54</v>
      </c>
      <c r="D19" s="139">
        <v>61</v>
      </c>
      <c r="E19" s="140">
        <v>55</v>
      </c>
      <c r="F19" s="141">
        <v>54.25</v>
      </c>
      <c r="G19" s="139">
        <v>67</v>
      </c>
      <c r="H19" s="140">
        <v>55</v>
      </c>
      <c r="I19" s="141">
        <v>55.98</v>
      </c>
      <c r="J19" s="139">
        <v>67</v>
      </c>
      <c r="K19" s="140">
        <v>56</v>
      </c>
      <c r="L19" s="141">
        <v>55.98</v>
      </c>
      <c r="M19" s="139">
        <v>42</v>
      </c>
      <c r="N19" s="140">
        <v>49</v>
      </c>
      <c r="O19" s="141">
        <v>47.29</v>
      </c>
      <c r="P19" s="139">
        <v>65</v>
      </c>
      <c r="Q19" s="140">
        <v>55</v>
      </c>
      <c r="R19" s="141">
        <v>55.44</v>
      </c>
      <c r="S19" s="139">
        <v>50</v>
      </c>
      <c r="T19" s="140">
        <v>50</v>
      </c>
      <c r="U19" s="141">
        <v>50.34</v>
      </c>
      <c r="V19" s="139">
        <v>53</v>
      </c>
      <c r="W19" s="140">
        <v>51</v>
      </c>
      <c r="X19" s="141">
        <v>51.45</v>
      </c>
    </row>
    <row r="20" spans="1:24">
      <c r="A20" s="139">
        <v>55</v>
      </c>
      <c r="B20" s="140">
        <v>52</v>
      </c>
      <c r="C20" s="141">
        <v>52.2</v>
      </c>
      <c r="D20" s="139">
        <v>58</v>
      </c>
      <c r="E20" s="140">
        <v>54</v>
      </c>
      <c r="F20" s="141">
        <v>53.2</v>
      </c>
      <c r="G20" s="139">
        <v>63</v>
      </c>
      <c r="H20" s="140">
        <v>54</v>
      </c>
      <c r="I20" s="141">
        <v>54.85</v>
      </c>
      <c r="J20" s="139">
        <v>64</v>
      </c>
      <c r="K20" s="140">
        <v>55</v>
      </c>
      <c r="L20" s="141">
        <v>55.14</v>
      </c>
      <c r="M20" s="139">
        <v>40</v>
      </c>
      <c r="N20" s="140">
        <v>48</v>
      </c>
      <c r="O20" s="141">
        <v>46.54</v>
      </c>
      <c r="P20" s="139">
        <v>62</v>
      </c>
      <c r="Q20" s="140">
        <v>54</v>
      </c>
      <c r="R20" s="141">
        <v>54.58</v>
      </c>
      <c r="S20" s="139">
        <v>47</v>
      </c>
      <c r="T20" s="140">
        <v>49</v>
      </c>
      <c r="U20" s="141">
        <v>49.22</v>
      </c>
      <c r="V20" s="139">
        <v>51</v>
      </c>
      <c r="W20" s="140">
        <v>50</v>
      </c>
      <c r="X20" s="141">
        <v>50.72</v>
      </c>
    </row>
    <row r="21" spans="1:24">
      <c r="A21" s="139">
        <v>53</v>
      </c>
      <c r="B21" s="140">
        <v>51</v>
      </c>
      <c r="C21" s="141">
        <v>51.45</v>
      </c>
      <c r="D21" s="139">
        <v>55</v>
      </c>
      <c r="E21" s="140">
        <v>53</v>
      </c>
      <c r="F21" s="141">
        <v>52.2</v>
      </c>
      <c r="G21" s="139">
        <v>59</v>
      </c>
      <c r="H21" s="140">
        <v>53</v>
      </c>
      <c r="I21" s="141">
        <v>53.54</v>
      </c>
      <c r="J21" s="139">
        <v>61</v>
      </c>
      <c r="K21" s="140">
        <v>54</v>
      </c>
      <c r="L21" s="141">
        <v>54.25</v>
      </c>
      <c r="M21" s="139">
        <v>37</v>
      </c>
      <c r="N21" s="140">
        <v>47</v>
      </c>
      <c r="O21" s="141">
        <v>45.47</v>
      </c>
      <c r="P21" s="139">
        <v>59</v>
      </c>
      <c r="Q21" s="140">
        <v>53</v>
      </c>
      <c r="R21" s="141">
        <v>53.54</v>
      </c>
      <c r="S21" s="139">
        <v>46</v>
      </c>
      <c r="T21" s="140">
        <v>48</v>
      </c>
      <c r="U21" s="141">
        <v>48.82</v>
      </c>
      <c r="V21" s="139">
        <v>49</v>
      </c>
      <c r="W21" s="140">
        <v>49</v>
      </c>
      <c r="X21" s="141">
        <v>49.95</v>
      </c>
    </row>
    <row r="22" spans="1:24">
      <c r="A22" s="139">
        <v>51</v>
      </c>
      <c r="B22" s="140">
        <v>50</v>
      </c>
      <c r="C22" s="141">
        <v>50.72</v>
      </c>
      <c r="D22" s="139">
        <v>52</v>
      </c>
      <c r="E22" s="140">
        <v>52</v>
      </c>
      <c r="F22" s="141">
        <v>51.08</v>
      </c>
      <c r="G22" s="139">
        <v>57</v>
      </c>
      <c r="H22" s="140">
        <v>52</v>
      </c>
      <c r="I22" s="141">
        <v>52.87</v>
      </c>
      <c r="J22" s="139">
        <v>58</v>
      </c>
      <c r="K22" s="140">
        <v>53</v>
      </c>
      <c r="L22" s="141">
        <v>53.2</v>
      </c>
      <c r="M22" s="139">
        <v>36</v>
      </c>
      <c r="N22" s="140">
        <v>46</v>
      </c>
      <c r="O22" s="141">
        <v>45.04</v>
      </c>
      <c r="P22" s="139">
        <v>55</v>
      </c>
      <c r="Q22" s="140">
        <v>52</v>
      </c>
      <c r="R22" s="141">
        <v>52.2</v>
      </c>
      <c r="S22" s="139">
        <v>43</v>
      </c>
      <c r="T22" s="140">
        <v>47</v>
      </c>
      <c r="U22" s="141">
        <v>47.67</v>
      </c>
      <c r="V22" s="139">
        <v>46</v>
      </c>
      <c r="W22" s="140">
        <v>48</v>
      </c>
      <c r="X22" s="141">
        <v>48.82</v>
      </c>
    </row>
    <row r="23" spans="1:24">
      <c r="A23" s="139">
        <v>49</v>
      </c>
      <c r="B23" s="140">
        <v>49</v>
      </c>
      <c r="C23" s="141">
        <v>49.95</v>
      </c>
      <c r="D23" s="139">
        <v>49</v>
      </c>
      <c r="E23" s="140">
        <v>51</v>
      </c>
      <c r="F23" s="141">
        <v>49.95</v>
      </c>
      <c r="G23" s="139">
        <v>54</v>
      </c>
      <c r="H23" s="140">
        <v>51</v>
      </c>
      <c r="I23" s="141">
        <v>51.84</v>
      </c>
      <c r="J23" s="139">
        <v>55</v>
      </c>
      <c r="K23" s="140">
        <v>52</v>
      </c>
      <c r="L23" s="141">
        <v>52.2</v>
      </c>
      <c r="M23" s="139">
        <v>33</v>
      </c>
      <c r="N23" s="140">
        <v>45</v>
      </c>
      <c r="O23" s="141">
        <v>44.07</v>
      </c>
      <c r="P23" s="139">
        <v>51</v>
      </c>
      <c r="Q23" s="140">
        <v>51</v>
      </c>
      <c r="R23" s="141">
        <v>50.72</v>
      </c>
      <c r="S23" s="139">
        <v>40</v>
      </c>
      <c r="T23" s="140">
        <v>46</v>
      </c>
      <c r="U23" s="141">
        <v>46.54</v>
      </c>
      <c r="V23" s="139">
        <v>43</v>
      </c>
      <c r="W23" s="140">
        <v>47</v>
      </c>
      <c r="X23" s="141">
        <v>47.67</v>
      </c>
    </row>
    <row r="24" spans="1:24">
      <c r="A24" s="139">
        <v>45</v>
      </c>
      <c r="B24" s="140">
        <v>48</v>
      </c>
      <c r="C24" s="141">
        <v>48.43</v>
      </c>
      <c r="D24" s="139">
        <v>47</v>
      </c>
      <c r="E24" s="140">
        <v>50</v>
      </c>
      <c r="F24" s="141">
        <v>49.22</v>
      </c>
      <c r="G24" s="139">
        <v>52</v>
      </c>
      <c r="H24" s="140">
        <v>50</v>
      </c>
      <c r="I24" s="141">
        <v>51.08</v>
      </c>
      <c r="J24" s="139">
        <v>52</v>
      </c>
      <c r="K24" s="140">
        <v>51</v>
      </c>
      <c r="L24" s="141">
        <v>51.08</v>
      </c>
      <c r="M24" s="139">
        <v>31</v>
      </c>
      <c r="N24" s="140">
        <v>44</v>
      </c>
      <c r="O24" s="141">
        <v>43.48</v>
      </c>
      <c r="P24" s="139">
        <v>49</v>
      </c>
      <c r="Q24" s="140">
        <v>50</v>
      </c>
      <c r="R24" s="141">
        <v>49.95</v>
      </c>
      <c r="S24" s="139">
        <v>38</v>
      </c>
      <c r="T24" s="140">
        <v>45</v>
      </c>
      <c r="U24" s="141">
        <v>45.83</v>
      </c>
      <c r="V24" s="139">
        <v>41</v>
      </c>
      <c r="W24" s="140">
        <v>46</v>
      </c>
      <c r="X24" s="141">
        <v>46.9</v>
      </c>
    </row>
    <row r="25" spans="1:24">
      <c r="A25" s="139">
        <v>42</v>
      </c>
      <c r="B25" s="140">
        <v>47</v>
      </c>
      <c r="C25" s="141">
        <v>47.29</v>
      </c>
      <c r="D25" s="139">
        <v>44</v>
      </c>
      <c r="E25" s="140">
        <v>49</v>
      </c>
      <c r="F25" s="141">
        <v>48.04</v>
      </c>
      <c r="G25" s="139">
        <v>49</v>
      </c>
      <c r="H25" s="140">
        <v>49</v>
      </c>
      <c r="I25" s="141">
        <v>49.95</v>
      </c>
      <c r="J25" s="139">
        <v>49</v>
      </c>
      <c r="K25" s="140">
        <v>50</v>
      </c>
      <c r="L25" s="141">
        <v>49.95</v>
      </c>
      <c r="M25" s="139">
        <v>29</v>
      </c>
      <c r="N25" s="140">
        <v>43</v>
      </c>
      <c r="O25" s="141">
        <v>42.81</v>
      </c>
      <c r="P25" s="139">
        <v>46</v>
      </c>
      <c r="Q25" s="140">
        <v>49</v>
      </c>
      <c r="R25" s="141">
        <v>48.82</v>
      </c>
      <c r="S25" s="139">
        <v>35</v>
      </c>
      <c r="T25" s="140">
        <v>44</v>
      </c>
      <c r="U25" s="141">
        <v>44.7</v>
      </c>
      <c r="V25" s="139">
        <v>38</v>
      </c>
      <c r="W25" s="140">
        <v>45</v>
      </c>
      <c r="X25" s="141">
        <v>45.83</v>
      </c>
    </row>
    <row r="26" spans="1:24">
      <c r="A26" s="139">
        <v>39</v>
      </c>
      <c r="B26" s="140">
        <v>46</v>
      </c>
      <c r="C26" s="141">
        <v>46.19</v>
      </c>
      <c r="D26" s="139">
        <v>42</v>
      </c>
      <c r="E26" s="140">
        <v>48</v>
      </c>
      <c r="F26" s="141">
        <v>47.29</v>
      </c>
      <c r="G26" s="139">
        <v>46</v>
      </c>
      <c r="H26" s="140">
        <v>48</v>
      </c>
      <c r="I26" s="141">
        <v>48.82</v>
      </c>
      <c r="J26" s="139">
        <v>47</v>
      </c>
      <c r="K26" s="140">
        <v>49</v>
      </c>
      <c r="L26" s="141">
        <v>49.22</v>
      </c>
      <c r="M26" s="139">
        <v>27</v>
      </c>
      <c r="N26" s="140">
        <v>42</v>
      </c>
      <c r="O26" s="141">
        <v>42.11</v>
      </c>
      <c r="P26" s="139">
        <v>44</v>
      </c>
      <c r="Q26" s="140">
        <v>48</v>
      </c>
      <c r="R26" s="141">
        <v>48.04</v>
      </c>
      <c r="S26" s="139">
        <v>31</v>
      </c>
      <c r="T26" s="140">
        <v>43</v>
      </c>
      <c r="U26" s="141">
        <v>43.48</v>
      </c>
      <c r="V26" s="139">
        <v>34</v>
      </c>
      <c r="W26" s="140">
        <v>44</v>
      </c>
      <c r="X26" s="141">
        <v>44.38</v>
      </c>
    </row>
    <row r="27" spans="1:24">
      <c r="A27" s="139">
        <v>37</v>
      </c>
      <c r="B27" s="140">
        <v>45</v>
      </c>
      <c r="C27" s="141">
        <v>45.47</v>
      </c>
      <c r="D27" s="139">
        <v>40</v>
      </c>
      <c r="E27" s="140">
        <v>47</v>
      </c>
      <c r="F27" s="141">
        <v>46.54</v>
      </c>
      <c r="G27" s="139">
        <v>44</v>
      </c>
      <c r="H27" s="140">
        <v>47</v>
      </c>
      <c r="I27" s="141">
        <v>48.04</v>
      </c>
      <c r="J27" s="139">
        <v>44</v>
      </c>
      <c r="K27" s="140">
        <v>48</v>
      </c>
      <c r="L27" s="141">
        <v>48.04</v>
      </c>
      <c r="M27" s="139">
        <v>25</v>
      </c>
      <c r="N27" s="140">
        <v>41</v>
      </c>
      <c r="O27" s="141">
        <v>41.41</v>
      </c>
      <c r="P27" s="139">
        <v>41</v>
      </c>
      <c r="Q27" s="140">
        <v>47</v>
      </c>
      <c r="R27" s="141">
        <v>46.9</v>
      </c>
      <c r="S27" s="139">
        <v>29</v>
      </c>
      <c r="T27" s="140">
        <v>42</v>
      </c>
      <c r="U27" s="141">
        <v>42.81</v>
      </c>
      <c r="V27" s="139">
        <v>30</v>
      </c>
      <c r="W27" s="140">
        <v>43</v>
      </c>
      <c r="X27" s="141">
        <v>43.16</v>
      </c>
    </row>
    <row r="28" spans="1:24">
      <c r="A28" s="139">
        <v>34</v>
      </c>
      <c r="B28" s="140">
        <v>44</v>
      </c>
      <c r="C28" s="141">
        <v>44.38</v>
      </c>
      <c r="D28" s="139">
        <v>37</v>
      </c>
      <c r="E28" s="140">
        <v>46</v>
      </c>
      <c r="F28" s="141">
        <v>45.47</v>
      </c>
      <c r="G28" s="139">
        <v>40</v>
      </c>
      <c r="H28" s="140">
        <v>46</v>
      </c>
      <c r="I28" s="141">
        <v>46.54</v>
      </c>
      <c r="J28" s="139">
        <v>41</v>
      </c>
      <c r="K28" s="140">
        <v>47</v>
      </c>
      <c r="L28" s="141">
        <v>46.9</v>
      </c>
      <c r="M28" s="139">
        <v>22</v>
      </c>
      <c r="N28" s="140">
        <v>40</v>
      </c>
      <c r="O28" s="141">
        <v>40.47</v>
      </c>
      <c r="P28" s="139">
        <v>38</v>
      </c>
      <c r="Q28" s="140">
        <v>46</v>
      </c>
      <c r="R28" s="141">
        <v>45.83</v>
      </c>
      <c r="S28" s="139">
        <v>25</v>
      </c>
      <c r="T28" s="140">
        <v>41</v>
      </c>
      <c r="U28" s="141">
        <v>41.41</v>
      </c>
      <c r="V28" s="139">
        <v>28</v>
      </c>
      <c r="W28" s="140">
        <v>42</v>
      </c>
      <c r="X28" s="141">
        <v>42.46</v>
      </c>
    </row>
    <row r="29" spans="1:24">
      <c r="A29" s="139">
        <v>30</v>
      </c>
      <c r="B29" s="140">
        <v>43</v>
      </c>
      <c r="C29" s="141">
        <v>43.16</v>
      </c>
      <c r="D29" s="139">
        <v>35</v>
      </c>
      <c r="E29" s="140">
        <v>45</v>
      </c>
      <c r="F29" s="141">
        <v>44.7</v>
      </c>
      <c r="G29" s="139">
        <v>36</v>
      </c>
      <c r="H29" s="140">
        <v>45</v>
      </c>
      <c r="I29" s="141">
        <v>45.04</v>
      </c>
      <c r="J29" s="139">
        <v>38</v>
      </c>
      <c r="K29" s="140">
        <v>46</v>
      </c>
      <c r="L29" s="141">
        <v>45.83</v>
      </c>
      <c r="M29" s="139">
        <v>20</v>
      </c>
      <c r="N29" s="140">
        <v>39</v>
      </c>
      <c r="O29" s="141">
        <v>39.799999999999997</v>
      </c>
      <c r="P29" s="139">
        <v>36</v>
      </c>
      <c r="Q29" s="140">
        <v>45</v>
      </c>
      <c r="R29" s="141">
        <v>45.04</v>
      </c>
      <c r="S29" s="139">
        <v>21</v>
      </c>
      <c r="T29" s="140">
        <v>40</v>
      </c>
      <c r="U29" s="141">
        <v>40.14</v>
      </c>
      <c r="V29" s="139">
        <v>25</v>
      </c>
      <c r="W29" s="140">
        <v>41</v>
      </c>
      <c r="X29" s="141">
        <v>41.41</v>
      </c>
    </row>
    <row r="30" spans="1:24">
      <c r="A30" s="139">
        <v>26</v>
      </c>
      <c r="B30" s="140">
        <v>42</v>
      </c>
      <c r="C30" s="141">
        <v>41.76</v>
      </c>
      <c r="D30" s="139">
        <v>33</v>
      </c>
      <c r="E30" s="140">
        <v>44</v>
      </c>
      <c r="F30" s="141">
        <v>44.07</v>
      </c>
      <c r="G30" s="139">
        <v>33</v>
      </c>
      <c r="H30" s="140">
        <v>44</v>
      </c>
      <c r="I30" s="141">
        <v>44.07</v>
      </c>
      <c r="J30" s="139">
        <v>35</v>
      </c>
      <c r="K30" s="140">
        <v>45</v>
      </c>
      <c r="L30" s="141">
        <v>44.7</v>
      </c>
      <c r="M30" s="139">
        <v>17</v>
      </c>
      <c r="N30" s="140">
        <v>38</v>
      </c>
      <c r="O30" s="141">
        <v>38.78</v>
      </c>
      <c r="P30" s="139">
        <v>32</v>
      </c>
      <c r="Q30" s="140">
        <v>44</v>
      </c>
      <c r="R30" s="141">
        <v>43.78</v>
      </c>
      <c r="S30" s="139">
        <v>18</v>
      </c>
      <c r="T30" s="140">
        <v>39</v>
      </c>
      <c r="U30" s="141">
        <v>39.090000000000003</v>
      </c>
      <c r="V30" s="139">
        <v>21</v>
      </c>
      <c r="W30" s="140">
        <v>40</v>
      </c>
      <c r="X30" s="141">
        <v>40.14</v>
      </c>
    </row>
    <row r="31" spans="1:24">
      <c r="A31" s="139">
        <v>23</v>
      </c>
      <c r="B31" s="140">
        <v>41</v>
      </c>
      <c r="C31" s="141">
        <v>40.79</v>
      </c>
      <c r="D31" s="139">
        <v>29</v>
      </c>
      <c r="E31" s="140">
        <v>43</v>
      </c>
      <c r="F31" s="141">
        <v>42.81</v>
      </c>
      <c r="G31" s="139">
        <v>29</v>
      </c>
      <c r="H31" s="140">
        <v>43</v>
      </c>
      <c r="I31" s="141">
        <v>42.81</v>
      </c>
      <c r="J31" s="139">
        <v>32</v>
      </c>
      <c r="K31" s="140">
        <v>44</v>
      </c>
      <c r="L31" s="141">
        <v>43.78</v>
      </c>
      <c r="M31" s="139">
        <v>14</v>
      </c>
      <c r="N31" s="140">
        <v>37</v>
      </c>
      <c r="O31" s="141">
        <v>37.840000000000003</v>
      </c>
      <c r="P31" s="139">
        <v>28</v>
      </c>
      <c r="Q31" s="140">
        <v>43</v>
      </c>
      <c r="R31" s="141">
        <v>42.46</v>
      </c>
      <c r="S31" s="139">
        <v>14</v>
      </c>
      <c r="T31" s="140">
        <v>38</v>
      </c>
      <c r="U31" s="141">
        <v>37.840000000000003</v>
      </c>
      <c r="V31" s="139">
        <v>16</v>
      </c>
      <c r="W31" s="140">
        <v>39</v>
      </c>
      <c r="X31" s="141">
        <v>38.47</v>
      </c>
    </row>
    <row r="32" spans="1:24">
      <c r="A32" s="139">
        <v>20</v>
      </c>
      <c r="B32" s="140">
        <v>40</v>
      </c>
      <c r="C32" s="141">
        <v>39.799999999999997</v>
      </c>
      <c r="D32" s="139">
        <v>26</v>
      </c>
      <c r="E32" s="140">
        <v>42</v>
      </c>
      <c r="F32" s="141">
        <v>41.76</v>
      </c>
      <c r="G32" s="139">
        <v>26</v>
      </c>
      <c r="H32" s="140">
        <v>42</v>
      </c>
      <c r="I32" s="141">
        <v>41.76</v>
      </c>
      <c r="J32" s="139">
        <v>29</v>
      </c>
      <c r="K32" s="140">
        <v>43</v>
      </c>
      <c r="L32" s="141">
        <v>42.81</v>
      </c>
      <c r="M32" s="139">
        <v>12</v>
      </c>
      <c r="N32" s="140">
        <v>36</v>
      </c>
      <c r="O32" s="141">
        <v>37.18</v>
      </c>
      <c r="P32" s="139">
        <v>26</v>
      </c>
      <c r="Q32" s="140">
        <v>42</v>
      </c>
      <c r="R32" s="141">
        <v>41.76</v>
      </c>
      <c r="S32" s="139">
        <v>10</v>
      </c>
      <c r="T32" s="140">
        <v>37</v>
      </c>
      <c r="U32" s="141">
        <v>36.43</v>
      </c>
      <c r="V32" s="139">
        <v>13</v>
      </c>
      <c r="W32" s="140">
        <v>38</v>
      </c>
      <c r="X32" s="141">
        <v>37.520000000000003</v>
      </c>
    </row>
    <row r="33" spans="1:24">
      <c r="A33" s="139">
        <v>17</v>
      </c>
      <c r="B33" s="140">
        <v>39</v>
      </c>
      <c r="C33" s="141">
        <v>38.78</v>
      </c>
      <c r="D33" s="139">
        <v>23</v>
      </c>
      <c r="E33" s="140">
        <v>41</v>
      </c>
      <c r="F33" s="141">
        <v>40.79</v>
      </c>
      <c r="G33" s="139">
        <v>23</v>
      </c>
      <c r="H33" s="140">
        <v>41</v>
      </c>
      <c r="I33" s="141">
        <v>40.79</v>
      </c>
      <c r="J33" s="139">
        <v>26</v>
      </c>
      <c r="K33" s="140">
        <v>42</v>
      </c>
      <c r="L33" s="141">
        <v>41.76</v>
      </c>
      <c r="M33" s="139">
        <v>10</v>
      </c>
      <c r="N33" s="140">
        <v>35</v>
      </c>
      <c r="O33" s="141">
        <v>36.43</v>
      </c>
      <c r="P33" s="139">
        <v>23</v>
      </c>
      <c r="Q33" s="140">
        <v>41</v>
      </c>
      <c r="R33" s="141">
        <v>40.79</v>
      </c>
      <c r="S33" s="139">
        <v>7</v>
      </c>
      <c r="T33" s="140">
        <v>36</v>
      </c>
      <c r="U33" s="141">
        <v>35.39</v>
      </c>
      <c r="V33" s="139">
        <v>11</v>
      </c>
      <c r="W33" s="140">
        <v>37</v>
      </c>
      <c r="X33" s="141">
        <v>36.799999999999997</v>
      </c>
    </row>
    <row r="34" spans="1:24">
      <c r="A34" s="139">
        <v>14</v>
      </c>
      <c r="B34" s="140">
        <v>38</v>
      </c>
      <c r="C34" s="141">
        <v>37.840000000000003</v>
      </c>
      <c r="D34" s="139">
        <v>20</v>
      </c>
      <c r="E34" s="140">
        <v>40</v>
      </c>
      <c r="F34" s="141">
        <v>39.799999999999997</v>
      </c>
      <c r="G34" s="139">
        <v>20</v>
      </c>
      <c r="H34" s="140">
        <v>40</v>
      </c>
      <c r="I34" s="141">
        <v>39.799999999999997</v>
      </c>
      <c r="J34" s="139">
        <v>23</v>
      </c>
      <c r="K34" s="140">
        <v>41</v>
      </c>
      <c r="L34" s="141">
        <v>40.79</v>
      </c>
      <c r="M34" s="139">
        <v>7</v>
      </c>
      <c r="N34" s="140">
        <v>34</v>
      </c>
      <c r="O34" s="141">
        <v>35.39</v>
      </c>
      <c r="P34" s="139">
        <v>20</v>
      </c>
      <c r="Q34" s="140">
        <v>40</v>
      </c>
      <c r="R34" s="141">
        <v>39.799999999999997</v>
      </c>
      <c r="S34" s="139">
        <v>6</v>
      </c>
      <c r="T34" s="140">
        <v>35</v>
      </c>
      <c r="U34" s="141">
        <v>34.869999999999997</v>
      </c>
      <c r="V34" s="139">
        <v>8</v>
      </c>
      <c r="W34" s="140">
        <v>36</v>
      </c>
      <c r="X34" s="141">
        <v>35.75</v>
      </c>
    </row>
    <row r="35" spans="1:24">
      <c r="A35" s="139">
        <v>10</v>
      </c>
      <c r="B35" s="140">
        <v>37</v>
      </c>
      <c r="C35" s="141">
        <v>36.43</v>
      </c>
      <c r="D35" s="139">
        <v>18</v>
      </c>
      <c r="E35" s="140">
        <v>39</v>
      </c>
      <c r="F35" s="141">
        <v>39.090000000000003</v>
      </c>
      <c r="G35" s="139">
        <v>17</v>
      </c>
      <c r="H35" s="140">
        <v>39</v>
      </c>
      <c r="I35" s="141">
        <v>38.78</v>
      </c>
      <c r="J35" s="139">
        <v>20</v>
      </c>
      <c r="K35" s="140">
        <v>40</v>
      </c>
      <c r="L35" s="141">
        <v>39.799999999999997</v>
      </c>
      <c r="M35" s="139">
        <v>4</v>
      </c>
      <c r="N35" s="140">
        <v>33</v>
      </c>
      <c r="O35" s="141">
        <v>33.909999999999997</v>
      </c>
      <c r="P35" s="139">
        <v>18</v>
      </c>
      <c r="Q35" s="140">
        <v>39</v>
      </c>
      <c r="R35" s="141">
        <v>39.090000000000003</v>
      </c>
      <c r="S35" s="139">
        <v>3</v>
      </c>
      <c r="T35" s="140">
        <v>34</v>
      </c>
      <c r="U35" s="141">
        <v>33.18</v>
      </c>
      <c r="V35" s="139">
        <v>5</v>
      </c>
      <c r="W35" s="140">
        <v>35</v>
      </c>
      <c r="X35" s="141">
        <v>34.409999999999997</v>
      </c>
    </row>
    <row r="36" spans="1:24">
      <c r="A36" s="139">
        <v>7</v>
      </c>
      <c r="B36" s="140">
        <v>36</v>
      </c>
      <c r="C36" s="141">
        <v>35.39</v>
      </c>
      <c r="D36" s="139">
        <v>15</v>
      </c>
      <c r="E36" s="140">
        <v>38</v>
      </c>
      <c r="F36" s="141">
        <v>38.14</v>
      </c>
      <c r="G36" s="139">
        <v>12</v>
      </c>
      <c r="H36" s="140">
        <v>38</v>
      </c>
      <c r="I36" s="141">
        <v>37.18</v>
      </c>
      <c r="J36" s="139">
        <v>17</v>
      </c>
      <c r="K36" s="140">
        <v>39</v>
      </c>
      <c r="L36" s="141">
        <v>38.78</v>
      </c>
      <c r="M36" s="139">
        <v>3</v>
      </c>
      <c r="N36" s="140">
        <v>32</v>
      </c>
      <c r="O36" s="141">
        <v>33.18</v>
      </c>
      <c r="P36" s="139">
        <v>15</v>
      </c>
      <c r="Q36" s="140">
        <v>38</v>
      </c>
      <c r="R36" s="141">
        <v>38.14</v>
      </c>
      <c r="S36" s="139">
        <v>2</v>
      </c>
      <c r="T36" s="140">
        <v>33</v>
      </c>
      <c r="U36" s="141">
        <v>32.31</v>
      </c>
      <c r="V36" s="139">
        <v>3</v>
      </c>
      <c r="W36" s="140">
        <v>34</v>
      </c>
      <c r="X36" s="141">
        <v>33.18</v>
      </c>
    </row>
    <row r="37" spans="1:24">
      <c r="A37" s="139">
        <v>6</v>
      </c>
      <c r="B37" s="140">
        <v>35</v>
      </c>
      <c r="C37" s="141">
        <v>34.869999999999997</v>
      </c>
      <c r="D37" s="139">
        <v>12</v>
      </c>
      <c r="E37" s="140">
        <v>37</v>
      </c>
      <c r="F37" s="141">
        <v>37.18</v>
      </c>
      <c r="G37" s="139">
        <v>9</v>
      </c>
      <c r="H37" s="140">
        <v>37</v>
      </c>
      <c r="I37" s="141">
        <v>36.090000000000003</v>
      </c>
      <c r="J37" s="139">
        <v>15</v>
      </c>
      <c r="K37" s="140">
        <v>38</v>
      </c>
      <c r="L37" s="141">
        <v>38.14</v>
      </c>
      <c r="M37" s="139">
        <v>2</v>
      </c>
      <c r="N37" s="140">
        <v>31</v>
      </c>
      <c r="O37" s="141">
        <v>32.31</v>
      </c>
      <c r="P37" s="139">
        <v>12</v>
      </c>
      <c r="Q37" s="140">
        <v>37</v>
      </c>
      <c r="R37" s="141">
        <v>37.18</v>
      </c>
      <c r="S37" s="139">
        <v>1</v>
      </c>
      <c r="T37" s="140">
        <v>32</v>
      </c>
      <c r="U37" s="141">
        <v>31.25</v>
      </c>
      <c r="V37" s="139">
        <v>2</v>
      </c>
      <c r="W37" s="140">
        <v>33</v>
      </c>
      <c r="X37" s="141">
        <v>32.31</v>
      </c>
    </row>
    <row r="38" spans="1:24" ht="17.25" thickBot="1">
      <c r="A38" s="139">
        <v>4</v>
      </c>
      <c r="B38" s="140">
        <v>34</v>
      </c>
      <c r="C38" s="141">
        <v>33.909999999999997</v>
      </c>
      <c r="D38" s="139">
        <v>10</v>
      </c>
      <c r="E38" s="140">
        <v>36</v>
      </c>
      <c r="F38" s="141">
        <v>36.43</v>
      </c>
      <c r="G38" s="139">
        <v>6</v>
      </c>
      <c r="H38" s="140">
        <v>36</v>
      </c>
      <c r="I38" s="141">
        <v>34.869999999999997</v>
      </c>
      <c r="J38" s="139">
        <v>12</v>
      </c>
      <c r="K38" s="140">
        <v>37</v>
      </c>
      <c r="L38" s="141">
        <v>37.18</v>
      </c>
      <c r="M38" s="139">
        <v>1</v>
      </c>
      <c r="N38" s="140">
        <v>30</v>
      </c>
      <c r="O38" s="141">
        <v>31.25</v>
      </c>
      <c r="P38" s="139">
        <v>8</v>
      </c>
      <c r="Q38" s="140">
        <v>36</v>
      </c>
      <c r="R38" s="141">
        <v>35.75</v>
      </c>
      <c r="S38" s="142">
        <v>0</v>
      </c>
      <c r="T38" s="143" t="s">
        <v>367</v>
      </c>
      <c r="U38" s="144">
        <v>29.62</v>
      </c>
      <c r="V38" s="139">
        <v>1</v>
      </c>
      <c r="W38" s="140">
        <v>32</v>
      </c>
      <c r="X38" s="141">
        <v>31.25</v>
      </c>
    </row>
    <row r="39" spans="1:24" ht="17.25" thickBot="1">
      <c r="A39" s="139">
        <v>3</v>
      </c>
      <c r="B39" s="140">
        <v>33</v>
      </c>
      <c r="C39" s="141">
        <v>33.18</v>
      </c>
      <c r="D39" s="139">
        <v>8</v>
      </c>
      <c r="E39" s="140">
        <v>35</v>
      </c>
      <c r="F39" s="141">
        <v>35.75</v>
      </c>
      <c r="G39" s="139">
        <v>5</v>
      </c>
      <c r="H39" s="140">
        <v>35</v>
      </c>
      <c r="I39" s="141">
        <v>34.409999999999997</v>
      </c>
      <c r="J39" s="139">
        <v>10</v>
      </c>
      <c r="K39" s="140">
        <v>36</v>
      </c>
      <c r="L39" s="141">
        <v>36.43</v>
      </c>
      <c r="M39" s="142">
        <v>0</v>
      </c>
      <c r="N39" s="143" t="s">
        <v>368</v>
      </c>
      <c r="O39" s="144">
        <v>29.62</v>
      </c>
      <c r="P39" s="139">
        <v>5</v>
      </c>
      <c r="Q39" s="140">
        <v>35</v>
      </c>
      <c r="R39" s="141">
        <v>34.409999999999997</v>
      </c>
      <c r="S39" s="156">
        <v>0</v>
      </c>
      <c r="T39" s="156">
        <v>0</v>
      </c>
      <c r="U39" s="157">
        <v>0</v>
      </c>
      <c r="V39" s="142">
        <v>0</v>
      </c>
      <c r="W39" s="143" t="s">
        <v>367</v>
      </c>
      <c r="X39" s="144">
        <v>29.62</v>
      </c>
    </row>
    <row r="40" spans="1:24">
      <c r="A40" s="139">
        <v>1</v>
      </c>
      <c r="B40" s="140">
        <v>32</v>
      </c>
      <c r="C40" s="141">
        <v>31.25</v>
      </c>
      <c r="D40" s="139">
        <v>6</v>
      </c>
      <c r="E40" s="140">
        <v>34</v>
      </c>
      <c r="F40" s="141">
        <v>34.869999999999997</v>
      </c>
      <c r="G40" s="139">
        <v>3</v>
      </c>
      <c r="H40" s="140">
        <v>34</v>
      </c>
      <c r="I40" s="141">
        <v>33.18</v>
      </c>
      <c r="J40" s="139">
        <v>7</v>
      </c>
      <c r="K40" s="140">
        <v>35</v>
      </c>
      <c r="L40" s="141">
        <v>35.39</v>
      </c>
      <c r="M40" s="156">
        <v>0</v>
      </c>
      <c r="N40" s="156">
        <v>0</v>
      </c>
      <c r="O40" s="157">
        <v>0</v>
      </c>
      <c r="P40" s="139">
        <v>4</v>
      </c>
      <c r="Q40" s="140">
        <v>34</v>
      </c>
      <c r="R40" s="141">
        <v>33.909999999999997</v>
      </c>
      <c r="S40" s="153"/>
      <c r="T40" s="154"/>
      <c r="U40" s="154"/>
      <c r="V40" s="156">
        <v>0</v>
      </c>
      <c r="W40" s="156">
        <v>0</v>
      </c>
      <c r="X40" s="157">
        <v>0</v>
      </c>
    </row>
    <row r="41" spans="1:24">
      <c r="A41" s="139">
        <v>1</v>
      </c>
      <c r="B41" s="140">
        <v>31</v>
      </c>
      <c r="C41" s="141">
        <v>30.43</v>
      </c>
      <c r="D41" s="139">
        <v>4</v>
      </c>
      <c r="E41" s="140">
        <v>33</v>
      </c>
      <c r="F41" s="141">
        <v>33.909999999999997</v>
      </c>
      <c r="G41" s="139">
        <v>2</v>
      </c>
      <c r="H41" s="140">
        <v>33</v>
      </c>
      <c r="I41" s="141">
        <v>32.31</v>
      </c>
      <c r="J41" s="139">
        <v>4</v>
      </c>
      <c r="K41" s="140">
        <v>34</v>
      </c>
      <c r="L41" s="141">
        <v>33.909999999999997</v>
      </c>
      <c r="M41" s="153"/>
      <c r="N41" s="154"/>
      <c r="O41" s="155"/>
      <c r="P41" s="139">
        <v>2</v>
      </c>
      <c r="Q41" s="140">
        <v>33</v>
      </c>
      <c r="R41" s="141">
        <v>32.31</v>
      </c>
      <c r="S41" s="153"/>
      <c r="T41" s="154"/>
      <c r="U41" s="154"/>
      <c r="V41" s="154"/>
      <c r="W41" s="154"/>
      <c r="X41" s="155"/>
    </row>
    <row r="42" spans="1:24" ht="17.25" thickBot="1">
      <c r="A42" s="142">
        <v>0</v>
      </c>
      <c r="B42" s="143" t="s">
        <v>358</v>
      </c>
      <c r="C42" s="144">
        <v>29.62</v>
      </c>
      <c r="D42" s="139">
        <v>3</v>
      </c>
      <c r="E42" s="140">
        <v>32</v>
      </c>
      <c r="F42" s="141">
        <v>33.18</v>
      </c>
      <c r="G42" s="139">
        <v>1</v>
      </c>
      <c r="H42" s="140">
        <v>32</v>
      </c>
      <c r="I42" s="141">
        <v>31.25</v>
      </c>
      <c r="J42" s="139">
        <v>3</v>
      </c>
      <c r="K42" s="140">
        <v>33</v>
      </c>
      <c r="L42" s="141">
        <v>33.18</v>
      </c>
      <c r="M42" s="153"/>
      <c r="N42" s="154"/>
      <c r="O42" s="155"/>
      <c r="P42" s="139">
        <v>2</v>
      </c>
      <c r="Q42" s="140">
        <v>32</v>
      </c>
      <c r="R42" s="141">
        <v>31.78</v>
      </c>
      <c r="S42" s="153"/>
      <c r="T42" s="154"/>
      <c r="U42" s="154"/>
      <c r="V42" s="154"/>
      <c r="W42" s="154"/>
      <c r="X42" s="155"/>
    </row>
    <row r="43" spans="1:24">
      <c r="A43" s="158">
        <v>0</v>
      </c>
      <c r="B43" s="158">
        <v>0</v>
      </c>
      <c r="C43" s="159">
        <v>0</v>
      </c>
      <c r="D43" s="139">
        <v>2</v>
      </c>
      <c r="E43" s="140">
        <v>31</v>
      </c>
      <c r="F43" s="141">
        <v>32.31</v>
      </c>
      <c r="G43" s="139">
        <v>1</v>
      </c>
      <c r="H43" s="140">
        <v>31</v>
      </c>
      <c r="I43" s="141">
        <v>30.43</v>
      </c>
      <c r="J43" s="139">
        <v>2</v>
      </c>
      <c r="K43" s="140">
        <v>32</v>
      </c>
      <c r="L43" s="141">
        <v>32.31</v>
      </c>
      <c r="M43" s="153"/>
      <c r="N43" s="154"/>
      <c r="O43" s="155"/>
      <c r="P43" s="139">
        <v>1</v>
      </c>
      <c r="Q43" s="140">
        <v>31</v>
      </c>
      <c r="R43" s="141">
        <v>31.25</v>
      </c>
      <c r="S43" s="153"/>
      <c r="T43" s="154"/>
      <c r="U43" s="154"/>
      <c r="V43" s="154"/>
      <c r="W43" s="154"/>
      <c r="X43" s="155"/>
    </row>
    <row r="44" spans="1:24" ht="17.25" thickBot="1">
      <c r="A44" s="154"/>
      <c r="B44" s="154"/>
      <c r="C44" s="155"/>
      <c r="D44" s="139">
        <v>1</v>
      </c>
      <c r="E44" s="140">
        <v>30</v>
      </c>
      <c r="F44" s="141">
        <v>31.25</v>
      </c>
      <c r="G44" s="142">
        <v>0</v>
      </c>
      <c r="H44" s="143" t="s">
        <v>358</v>
      </c>
      <c r="I44" s="144">
        <v>29.62</v>
      </c>
      <c r="J44" s="139">
        <v>1</v>
      </c>
      <c r="K44" s="140">
        <v>31</v>
      </c>
      <c r="L44" s="141">
        <v>31.25</v>
      </c>
      <c r="M44" s="153"/>
      <c r="N44" s="154"/>
      <c r="O44" s="155"/>
      <c r="P44" s="139">
        <v>1</v>
      </c>
      <c r="Q44" s="140">
        <v>30</v>
      </c>
      <c r="R44" s="141">
        <v>30.43</v>
      </c>
      <c r="S44" s="153"/>
      <c r="T44" s="154"/>
      <c r="U44" s="154"/>
      <c r="V44" s="154"/>
      <c r="W44" s="154"/>
      <c r="X44" s="154"/>
    </row>
    <row r="45" spans="1:24" ht="17.25" thickBot="1">
      <c r="A45" s="154"/>
      <c r="B45" s="154"/>
      <c r="C45" s="155"/>
      <c r="D45" s="139">
        <v>1</v>
      </c>
      <c r="E45" s="140">
        <v>29</v>
      </c>
      <c r="F45" s="141">
        <v>30.43</v>
      </c>
      <c r="G45" s="156">
        <v>0</v>
      </c>
      <c r="H45" s="156">
        <v>0</v>
      </c>
      <c r="I45" s="157">
        <v>0</v>
      </c>
      <c r="J45" s="139">
        <v>1</v>
      </c>
      <c r="K45" s="140">
        <v>30</v>
      </c>
      <c r="L45" s="141">
        <v>30.43</v>
      </c>
      <c r="M45" s="153"/>
      <c r="N45" s="154"/>
      <c r="O45" s="155"/>
      <c r="P45" s="142">
        <v>0</v>
      </c>
      <c r="Q45" s="143" t="s">
        <v>368</v>
      </c>
      <c r="R45" s="144">
        <v>29.62</v>
      </c>
      <c r="S45" s="153"/>
      <c r="T45" s="154"/>
      <c r="U45" s="154"/>
      <c r="V45" s="154"/>
      <c r="W45" s="154"/>
      <c r="X45" s="154"/>
    </row>
    <row r="46" spans="1:24" ht="17.25" thickBot="1">
      <c r="A46" s="154"/>
      <c r="B46" s="154"/>
      <c r="C46" s="155"/>
      <c r="D46" s="142">
        <v>0</v>
      </c>
      <c r="E46" s="143" t="s">
        <v>369</v>
      </c>
      <c r="F46" s="144">
        <v>29.62</v>
      </c>
      <c r="G46" s="153"/>
      <c r="H46" s="154"/>
      <c r="I46" s="155"/>
      <c r="J46" s="142">
        <v>0</v>
      </c>
      <c r="K46" s="143" t="s">
        <v>368</v>
      </c>
      <c r="L46" s="144">
        <v>29.62</v>
      </c>
      <c r="M46" s="153"/>
      <c r="N46" s="154"/>
      <c r="O46" s="154"/>
      <c r="P46" s="156">
        <v>0</v>
      </c>
      <c r="Q46" s="156">
        <v>0</v>
      </c>
      <c r="R46" s="157">
        <v>0</v>
      </c>
      <c r="S46" s="154"/>
      <c r="T46" s="154"/>
      <c r="U46" s="154"/>
      <c r="V46" s="154"/>
      <c r="W46" s="154"/>
      <c r="X46" s="154"/>
    </row>
    <row r="47" spans="1:24">
      <c r="A47" s="154"/>
      <c r="B47" s="154"/>
      <c r="C47" s="154"/>
      <c r="D47" s="156">
        <v>0</v>
      </c>
      <c r="E47" s="156">
        <v>0</v>
      </c>
      <c r="F47" s="157">
        <v>0</v>
      </c>
      <c r="G47" s="154"/>
      <c r="H47" s="154"/>
      <c r="I47" s="154"/>
      <c r="J47" s="156">
        <v>0</v>
      </c>
      <c r="K47" s="156">
        <v>0</v>
      </c>
      <c r="L47" s="157">
        <v>0</v>
      </c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</row>
    <row r="48" spans="1:24">
      <c r="A48" s="154"/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</row>
    <row r="49" spans="1:24">
      <c r="A49" s="154"/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</row>
    <row r="50" spans="1:24">
      <c r="A50" s="154"/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</row>
    <row r="51" spans="1:24">
      <c r="A51" s="154"/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</row>
    <row r="52" spans="1:24">
      <c r="A52" s="154"/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</row>
  </sheetData>
  <sheetProtection algorithmName="SHA-512" hashValue="53WpqKed0IPpi6mtVUYf09J4GAhSeXYcvKKRRJxonZCbkpQ40Lbk5VvH5lnzBF6mzT9w7XGIk0zy17/m9951aQ==" saltValue="86vALeB+mhOcpxjTffu9PQ==" spinCount="100000" sheet="1" objects="1" scenarios="1" selectLockedCells="1" selectUnlockedCells="1"/>
  <mergeCells count="8">
    <mergeCell ref="S1:U1"/>
    <mergeCell ref="V1:X1"/>
    <mergeCell ref="A1:C1"/>
    <mergeCell ref="D1:F1"/>
    <mergeCell ref="G1:I1"/>
    <mergeCell ref="J1:L1"/>
    <mergeCell ref="M1:O1"/>
    <mergeCell ref="P1:R1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F93"/>
  <sheetViews>
    <sheetView topLeftCell="A40" workbookViewId="0">
      <selection activeCell="A3" sqref="A3:B5"/>
    </sheetView>
  </sheetViews>
  <sheetFormatPr defaultRowHeight="16.5"/>
  <sheetData>
    <row r="1" spans="1:6" ht="17.25" thickBot="1">
      <c r="A1" s="51" t="s">
        <v>91</v>
      </c>
      <c r="B1" t="s">
        <v>87</v>
      </c>
      <c r="C1" t="s">
        <v>188</v>
      </c>
      <c r="D1" t="s">
        <v>189</v>
      </c>
      <c r="E1" t="s">
        <v>190</v>
      </c>
      <c r="F1" t="s">
        <v>191</v>
      </c>
    </row>
    <row r="2" spans="1:6" ht="17.25" thickBot="1">
      <c r="A2" s="54">
        <v>259.35000000000002</v>
      </c>
      <c r="B2">
        <v>6698</v>
      </c>
      <c r="C2" s="96">
        <v>4.1799999999999997E-2</v>
      </c>
      <c r="D2" s="96">
        <v>2.8387851457536892E-2</v>
      </c>
      <c r="E2" s="96">
        <v>4.4386128837730195E-2</v>
      </c>
      <c r="F2" s="96">
        <v>4.5876712328767125E-2</v>
      </c>
    </row>
    <row r="3" spans="1:6" ht="17.25" thickBot="1">
      <c r="A3" s="54">
        <v>259.5</v>
      </c>
      <c r="B3">
        <v>6597</v>
      </c>
      <c r="C3" s="96">
        <v>4.1200000000000001E-2</v>
      </c>
      <c r="D3" s="96">
        <v>2.7959787408983413E-2</v>
      </c>
      <c r="E3" s="96">
        <v>4.371682471521441E-2</v>
      </c>
      <c r="F3" s="96">
        <v>4.5184931506849317E-2</v>
      </c>
    </row>
    <row r="4" spans="1:6" ht="17.25" thickBot="1">
      <c r="A4" s="54">
        <v>259.64999999999998</v>
      </c>
      <c r="B4">
        <v>6500</v>
      </c>
      <c r="C4" s="96">
        <v>4.0599999999999997E-2</v>
      </c>
      <c r="D4" s="96">
        <v>2.7548676392055809E-2</v>
      </c>
      <c r="E4" s="96">
        <v>4.307402768665964E-2</v>
      </c>
      <c r="F4" s="96">
        <v>4.4520547945205477E-2</v>
      </c>
    </row>
    <row r="5" spans="1:6" ht="17.25" thickBot="1">
      <c r="A5" s="56">
        <v>259.82</v>
      </c>
      <c r="B5">
        <v>6397</v>
      </c>
      <c r="C5" s="96">
        <v>3.9899999999999998E-2</v>
      </c>
      <c r="D5" s="96">
        <v>2.7112135827689388E-2</v>
      </c>
      <c r="E5" s="96">
        <v>4.2391470017163341E-2</v>
      </c>
      <c r="F5" s="96">
        <v>4.3815068493150686E-2</v>
      </c>
    </row>
    <row r="6" spans="1:6" ht="17.25" thickBot="1">
      <c r="A6" s="54">
        <v>259.83999999999997</v>
      </c>
      <c r="B6">
        <v>6298</v>
      </c>
      <c r="C6" s="96">
        <v>3.9300000000000002E-2</v>
      </c>
      <c r="D6" s="96">
        <v>2.6692548294948843E-2</v>
      </c>
      <c r="E6" s="96">
        <v>4.1735419441628063E-2</v>
      </c>
      <c r="F6" s="96">
        <v>4.3136986301369862E-2</v>
      </c>
    </row>
    <row r="7" spans="1:6" ht="17.25" thickBot="1">
      <c r="A7" s="54">
        <v>259.98</v>
      </c>
      <c r="B7">
        <v>6199</v>
      </c>
      <c r="C7" s="96">
        <v>3.8699999999999998E-2</v>
      </c>
      <c r="D7" s="96">
        <v>2.6272960762208301E-2</v>
      </c>
      <c r="E7" s="96">
        <v>4.1079368866092786E-2</v>
      </c>
      <c r="F7" s="96">
        <v>4.2458904109589038E-2</v>
      </c>
    </row>
    <row r="8" spans="1:6" ht="17.25" thickBot="1">
      <c r="A8" s="54">
        <v>260.17</v>
      </c>
      <c r="B8">
        <v>6098</v>
      </c>
      <c r="C8" s="96">
        <v>3.8100000000000002E-2</v>
      </c>
      <c r="D8" s="96">
        <v>2.5844896713654818E-2</v>
      </c>
      <c r="E8" s="96">
        <v>4.0410064743577001E-2</v>
      </c>
      <c r="F8" s="96">
        <v>4.176712328767123E-2</v>
      </c>
    </row>
    <row r="9" spans="1:6" ht="17.25" thickBot="1">
      <c r="A9" s="54">
        <v>260.27</v>
      </c>
      <c r="B9">
        <v>5997</v>
      </c>
      <c r="C9" s="96">
        <v>3.7400000000000003E-2</v>
      </c>
      <c r="D9" s="96">
        <v>2.5416832665101335E-2</v>
      </c>
      <c r="E9" s="96">
        <v>3.9740760621061209E-2</v>
      </c>
      <c r="F9" s="96">
        <v>4.1075342465753423E-2</v>
      </c>
    </row>
    <row r="10" spans="1:6" ht="17.25" thickBot="1">
      <c r="A10" s="54">
        <v>260.48</v>
      </c>
      <c r="B10">
        <v>5897</v>
      </c>
      <c r="C10" s="96">
        <v>3.6799999999999999E-2</v>
      </c>
      <c r="D10" s="96">
        <v>2.4993006874454323E-2</v>
      </c>
      <c r="E10" s="96">
        <v>3.9078083272035678E-2</v>
      </c>
      <c r="F10" s="96">
        <v>4.039041095890411E-2</v>
      </c>
    </row>
    <row r="11" spans="1:6" ht="17.25" thickBot="1">
      <c r="A11" s="57">
        <v>260.51</v>
      </c>
      <c r="B11">
        <v>5798</v>
      </c>
      <c r="C11" s="96">
        <v>3.6200000000000003E-2</v>
      </c>
      <c r="D11" s="96">
        <v>2.4573419341713781E-2</v>
      </c>
      <c r="E11" s="96">
        <v>3.8422032696500401E-2</v>
      </c>
      <c r="F11" s="96">
        <v>3.9712328767123287E-2</v>
      </c>
    </row>
    <row r="12" spans="1:6" ht="17.25" thickBot="1">
      <c r="A12" s="54">
        <v>260.82</v>
      </c>
      <c r="B12">
        <v>5700</v>
      </c>
      <c r="C12" s="96">
        <v>3.56E-2</v>
      </c>
      <c r="D12" s="96">
        <v>2.415807006687971E-2</v>
      </c>
      <c r="E12" s="96">
        <v>3.7772608894455377E-2</v>
      </c>
      <c r="F12" s="96">
        <v>3.9041095890410958E-2</v>
      </c>
    </row>
    <row r="13" spans="1:6" ht="17.25" thickBot="1">
      <c r="A13" s="56">
        <v>260.92</v>
      </c>
      <c r="B13">
        <v>5598</v>
      </c>
      <c r="C13" s="96">
        <v>3.5000000000000003E-2</v>
      </c>
      <c r="D13" s="96">
        <v>2.3725767760419757E-2</v>
      </c>
      <c r="E13" s="96">
        <v>3.7096677998449332E-2</v>
      </c>
      <c r="F13" s="96">
        <v>3.8342465753424655E-2</v>
      </c>
    </row>
    <row r="14" spans="1:6" ht="17.25" thickBot="1">
      <c r="A14" s="54">
        <v>261.19</v>
      </c>
      <c r="B14">
        <v>5498</v>
      </c>
      <c r="C14" s="96">
        <v>3.4299999999999997E-2</v>
      </c>
      <c r="D14" s="96">
        <v>2.3301941969772744E-2</v>
      </c>
      <c r="E14" s="96">
        <v>3.6434000649423801E-2</v>
      </c>
      <c r="F14" s="96">
        <v>3.7657534246575343E-2</v>
      </c>
    </row>
    <row r="15" spans="1:6" ht="17.25" thickBot="1">
      <c r="A15" s="54">
        <v>261.32</v>
      </c>
      <c r="B15">
        <v>5398</v>
      </c>
      <c r="C15" s="96">
        <v>3.3700000000000001E-2</v>
      </c>
      <c r="D15" s="96">
        <v>2.2878116179125732E-2</v>
      </c>
      <c r="E15" s="96">
        <v>3.5771323300398269E-2</v>
      </c>
      <c r="F15" s="96">
        <v>3.6972602739726031E-2</v>
      </c>
    </row>
    <row r="16" spans="1:6" ht="17.25" thickBot="1">
      <c r="A16" s="57">
        <v>261.47000000000003</v>
      </c>
      <c r="B16">
        <v>5299</v>
      </c>
      <c r="C16" s="96">
        <v>3.3099999999999997E-2</v>
      </c>
      <c r="D16" s="96">
        <v>2.245852864638519E-2</v>
      </c>
      <c r="E16" s="96">
        <v>3.5115272724862992E-2</v>
      </c>
      <c r="F16" s="96">
        <v>3.6294520547945207E-2</v>
      </c>
    </row>
    <row r="17" spans="1:6" ht="17.25" thickBot="1">
      <c r="A17" s="54">
        <v>261.58</v>
      </c>
      <c r="B17">
        <v>5197</v>
      </c>
      <c r="C17" s="96">
        <v>3.2399999999999998E-2</v>
      </c>
      <c r="D17" s="96">
        <v>2.2026226339925237E-2</v>
      </c>
      <c r="E17" s="96">
        <v>3.4439341828856947E-2</v>
      </c>
      <c r="F17" s="96">
        <v>3.5595890410958904E-2</v>
      </c>
    </row>
    <row r="18" spans="1:6" ht="17.25" thickBot="1">
      <c r="A18" s="54">
        <v>261.79000000000002</v>
      </c>
      <c r="B18">
        <v>5100</v>
      </c>
      <c r="C18" s="96">
        <v>3.1800000000000002E-2</v>
      </c>
      <c r="D18" s="96">
        <v>2.1615115322997636E-2</v>
      </c>
      <c r="E18" s="96">
        <v>3.3796544800302183E-2</v>
      </c>
      <c r="F18" s="96">
        <v>3.4931506849315071E-2</v>
      </c>
    </row>
    <row r="19" spans="1:6" ht="17.25" thickBot="1">
      <c r="A19" s="54">
        <v>261.83999999999997</v>
      </c>
      <c r="B19">
        <v>4999</v>
      </c>
      <c r="C19" s="96">
        <v>3.1199999999999999E-2</v>
      </c>
      <c r="D19" s="96">
        <v>2.1187051274444153E-2</v>
      </c>
      <c r="E19" s="96">
        <v>3.3127240677786392E-2</v>
      </c>
      <c r="F19" s="96">
        <v>3.4239726027397263E-2</v>
      </c>
    </row>
    <row r="20" spans="1:6" ht="17.25" thickBot="1">
      <c r="A20" s="57">
        <v>262.13</v>
      </c>
      <c r="B20">
        <v>4900</v>
      </c>
      <c r="C20" s="96">
        <v>3.0599999999999999E-2</v>
      </c>
      <c r="D20" s="96">
        <v>2.0767463741703612E-2</v>
      </c>
      <c r="E20" s="96">
        <v>3.2471190102251114E-2</v>
      </c>
      <c r="F20" s="96">
        <v>3.3561643835616439E-2</v>
      </c>
    </row>
    <row r="21" spans="1:6" ht="17.25" thickBot="1">
      <c r="A21" s="56">
        <v>262.26</v>
      </c>
      <c r="B21">
        <v>4798</v>
      </c>
      <c r="C21" s="96">
        <v>0.03</v>
      </c>
      <c r="D21" s="96">
        <v>2.0335161435243658E-2</v>
      </c>
      <c r="E21" s="96">
        <v>3.1795259206245069E-2</v>
      </c>
      <c r="F21" s="96">
        <v>3.2863013698630136E-2</v>
      </c>
    </row>
    <row r="22" spans="1:6" ht="17.25" thickBot="1">
      <c r="A22" s="54">
        <v>262.45999999999998</v>
      </c>
      <c r="B22">
        <v>4700</v>
      </c>
      <c r="C22" s="96">
        <v>2.93E-2</v>
      </c>
      <c r="D22" s="96">
        <v>1.9919812160409587E-2</v>
      </c>
      <c r="E22" s="96">
        <v>3.1145835404200049E-2</v>
      </c>
      <c r="F22" s="96">
        <v>3.2191780821917808E-2</v>
      </c>
    </row>
    <row r="23" spans="1:6" ht="17.25" thickBot="1">
      <c r="A23" s="54">
        <v>262.54000000000002</v>
      </c>
      <c r="B23">
        <v>4600</v>
      </c>
      <c r="C23" s="96">
        <v>2.87E-2</v>
      </c>
      <c r="D23" s="96">
        <v>1.9495986369762571E-2</v>
      </c>
      <c r="E23" s="96">
        <v>3.0483158055174518E-2</v>
      </c>
      <c r="F23" s="96">
        <v>3.1506849315068496E-2</v>
      </c>
    </row>
    <row r="24" spans="1:6" ht="17.25" thickBot="1">
      <c r="A24" s="54">
        <v>262.79000000000002</v>
      </c>
      <c r="B24">
        <v>4497</v>
      </c>
      <c r="C24" s="96">
        <v>2.81E-2</v>
      </c>
      <c r="D24" s="96">
        <v>1.905944580539615E-2</v>
      </c>
      <c r="E24" s="96">
        <v>2.9800600385678219E-2</v>
      </c>
      <c r="F24" s="96">
        <v>3.0801369863013697E-2</v>
      </c>
    </row>
    <row r="25" spans="1:6" ht="17.25" thickBot="1">
      <c r="A25" s="54">
        <v>262.92</v>
      </c>
      <c r="B25">
        <v>4399</v>
      </c>
      <c r="C25" s="96">
        <v>2.75E-2</v>
      </c>
      <c r="D25" s="96">
        <v>1.8644096530562079E-2</v>
      </c>
      <c r="E25" s="96">
        <v>2.9151176583633195E-2</v>
      </c>
      <c r="F25" s="96">
        <v>3.0130136986301369E-2</v>
      </c>
    </row>
    <row r="26" spans="1:6" ht="17.25" thickBot="1">
      <c r="A26" s="57">
        <v>263.16000000000003</v>
      </c>
      <c r="B26">
        <v>4298</v>
      </c>
      <c r="C26" s="96">
        <v>2.6800000000000001E-2</v>
      </c>
      <c r="D26" s="96">
        <v>1.8216032482008596E-2</v>
      </c>
      <c r="E26" s="96">
        <v>2.8481872461117407E-2</v>
      </c>
      <c r="F26" s="96">
        <v>2.9438356164383561E-2</v>
      </c>
    </row>
    <row r="27" spans="1:6" ht="17.25" thickBot="1">
      <c r="A27" s="54">
        <v>263.27</v>
      </c>
      <c r="B27">
        <v>4198</v>
      </c>
      <c r="C27" s="96">
        <v>2.6200000000000001E-2</v>
      </c>
      <c r="D27" s="96">
        <v>1.7792206691361584E-2</v>
      </c>
      <c r="E27" s="96">
        <v>2.7819195112091872E-2</v>
      </c>
      <c r="F27" s="96">
        <v>2.8753424657534245E-2</v>
      </c>
    </row>
    <row r="28" spans="1:6" ht="17.25" thickBot="1">
      <c r="A28" s="54">
        <v>263.48</v>
      </c>
      <c r="B28">
        <v>4099</v>
      </c>
      <c r="C28" s="96">
        <v>2.5600000000000001E-2</v>
      </c>
      <c r="D28" s="96">
        <v>1.7372619158621039E-2</v>
      </c>
      <c r="E28" s="96">
        <v>2.7163144536556594E-2</v>
      </c>
      <c r="F28" s="96">
        <v>2.8075342465753425E-2</v>
      </c>
    </row>
    <row r="29" spans="1:6" ht="17.25" thickBot="1">
      <c r="A29" s="56">
        <v>263.52</v>
      </c>
      <c r="B29">
        <v>3998</v>
      </c>
      <c r="C29" s="96">
        <v>2.5000000000000001E-2</v>
      </c>
      <c r="D29" s="96">
        <v>1.6944555110067559E-2</v>
      </c>
      <c r="E29" s="96">
        <v>2.6493840414040806E-2</v>
      </c>
      <c r="F29" s="96">
        <v>2.7383561643835617E-2</v>
      </c>
    </row>
    <row r="30" spans="1:6" ht="17.25" thickBot="1">
      <c r="A30" s="54">
        <v>263.82</v>
      </c>
      <c r="B30">
        <v>3900</v>
      </c>
      <c r="C30" s="96">
        <v>2.4400000000000002E-2</v>
      </c>
      <c r="D30" s="96">
        <v>1.6529205835233485E-2</v>
      </c>
      <c r="E30" s="96">
        <v>2.5844416611995786E-2</v>
      </c>
      <c r="F30" s="96">
        <v>2.6712328767123289E-2</v>
      </c>
    </row>
    <row r="31" spans="1:6" ht="17.25" thickBot="1">
      <c r="A31" s="54">
        <v>263.91000000000003</v>
      </c>
      <c r="B31">
        <v>3798</v>
      </c>
      <c r="C31" s="96">
        <v>2.3699999999999999E-2</v>
      </c>
      <c r="D31" s="96">
        <v>1.6096903528773535E-2</v>
      </c>
      <c r="E31" s="96">
        <v>2.5168485715989741E-2</v>
      </c>
      <c r="F31" s="96">
        <v>2.6013698630136986E-2</v>
      </c>
    </row>
    <row r="32" spans="1:6" ht="17.25" thickBot="1">
      <c r="A32" s="54">
        <v>264.04000000000002</v>
      </c>
      <c r="B32">
        <v>3699</v>
      </c>
      <c r="C32" s="96">
        <v>2.3099999999999999E-2</v>
      </c>
      <c r="D32" s="96">
        <v>1.5677315996032989E-2</v>
      </c>
      <c r="E32" s="96">
        <v>2.4512435140454463E-2</v>
      </c>
      <c r="F32" s="96">
        <v>2.5335616438356166E-2</v>
      </c>
    </row>
    <row r="33" spans="1:6" ht="17.25" thickBot="1">
      <c r="A33" s="54">
        <v>264.23</v>
      </c>
      <c r="B33">
        <v>3598</v>
      </c>
      <c r="C33" s="96">
        <v>2.2499999999999999E-2</v>
      </c>
      <c r="D33" s="96">
        <v>1.5249251947479508E-2</v>
      </c>
      <c r="E33" s="96">
        <v>2.3843131017938675E-2</v>
      </c>
      <c r="F33" s="96">
        <v>2.4643835616438355E-2</v>
      </c>
    </row>
    <row r="34" spans="1:6" ht="17.25" thickBot="1">
      <c r="A34" s="54">
        <v>264.52</v>
      </c>
      <c r="B34">
        <v>3499</v>
      </c>
      <c r="C34" s="96">
        <v>2.18E-2</v>
      </c>
      <c r="D34" s="96">
        <v>1.4829664414738966E-2</v>
      </c>
      <c r="E34" s="96">
        <v>2.3187080442403397E-2</v>
      </c>
      <c r="F34" s="96">
        <v>2.3965753424657534E-2</v>
      </c>
    </row>
    <row r="35" spans="1:6" ht="17.25" thickBot="1">
      <c r="A35" s="54">
        <v>264.70999999999998</v>
      </c>
      <c r="B35">
        <v>3400</v>
      </c>
      <c r="C35" s="96">
        <v>2.12E-2</v>
      </c>
      <c r="D35" s="96">
        <v>1.4410076881998423E-2</v>
      </c>
      <c r="E35" s="96">
        <v>2.253102986686812E-2</v>
      </c>
      <c r="F35" s="96">
        <v>2.3287671232876714E-2</v>
      </c>
    </row>
    <row r="36" spans="1:6" ht="17.25" thickBot="1">
      <c r="A36" s="54">
        <v>264.83999999999997</v>
      </c>
      <c r="B36">
        <v>3299</v>
      </c>
      <c r="C36" s="96">
        <v>2.06E-2</v>
      </c>
      <c r="D36" s="96">
        <v>1.398201283344494E-2</v>
      </c>
      <c r="E36" s="96">
        <v>2.1861725744352332E-2</v>
      </c>
      <c r="F36" s="96">
        <v>2.2595890410958903E-2</v>
      </c>
    </row>
    <row r="37" spans="1:6" ht="17.25" thickBot="1">
      <c r="A37" s="56">
        <v>264.98</v>
      </c>
      <c r="B37">
        <v>3200</v>
      </c>
      <c r="C37" s="96">
        <v>0.02</v>
      </c>
      <c r="D37" s="96">
        <v>1.3562425300704398E-2</v>
      </c>
      <c r="E37" s="96">
        <v>2.1205675168817054E-2</v>
      </c>
      <c r="F37" s="96">
        <v>2.1917808219178082E-2</v>
      </c>
    </row>
    <row r="38" spans="1:6" ht="17.25" thickBot="1">
      <c r="A38" s="54">
        <v>265.45999999999998</v>
      </c>
      <c r="B38">
        <v>3098</v>
      </c>
      <c r="C38" s="96">
        <v>1.9300000000000001E-2</v>
      </c>
      <c r="D38" s="96">
        <v>1.3130122994244446E-2</v>
      </c>
      <c r="E38" s="96">
        <v>2.0529744272811012E-2</v>
      </c>
      <c r="F38" s="96">
        <v>2.1219178082191779E-2</v>
      </c>
    </row>
    <row r="39" spans="1:6" ht="17.25" thickBot="1">
      <c r="A39" s="54">
        <v>265.54000000000002</v>
      </c>
      <c r="B39">
        <v>3000</v>
      </c>
      <c r="C39" s="96">
        <v>1.8700000000000001E-2</v>
      </c>
      <c r="D39" s="96">
        <v>1.2714773719410374E-2</v>
      </c>
      <c r="E39" s="96">
        <v>1.9880320470765989E-2</v>
      </c>
      <c r="F39" s="96">
        <v>2.0547945205479451E-2</v>
      </c>
    </row>
    <row r="40" spans="1:6" ht="17.25" thickBot="1">
      <c r="A40" s="54">
        <v>265.8</v>
      </c>
      <c r="B40">
        <v>2898</v>
      </c>
      <c r="C40" s="96">
        <v>1.8100000000000002E-2</v>
      </c>
      <c r="D40" s="96">
        <v>1.228247141295042E-2</v>
      </c>
      <c r="E40" s="96">
        <v>1.9204389574759947E-2</v>
      </c>
      <c r="F40" s="96">
        <v>1.9849315068493151E-2</v>
      </c>
    </row>
    <row r="41" spans="1:6" ht="17.25" thickBot="1">
      <c r="A41" s="54">
        <v>265.93</v>
      </c>
      <c r="B41">
        <v>2800</v>
      </c>
      <c r="C41" s="96">
        <v>1.7500000000000002E-2</v>
      </c>
      <c r="D41" s="96">
        <v>1.1867122138116349E-2</v>
      </c>
      <c r="E41" s="96">
        <v>1.8554965772714923E-2</v>
      </c>
      <c r="F41" s="96">
        <v>1.9178082191780823E-2</v>
      </c>
    </row>
    <row r="42" spans="1:6" ht="17.25" thickBot="1">
      <c r="A42" s="57">
        <v>266.26</v>
      </c>
      <c r="B42">
        <v>2700</v>
      </c>
      <c r="C42" s="96">
        <v>1.6899999999999998E-2</v>
      </c>
      <c r="D42" s="96">
        <v>1.1443296347469337E-2</v>
      </c>
      <c r="E42" s="96">
        <v>1.7892288423689388E-2</v>
      </c>
      <c r="F42" s="96">
        <v>1.8493150684931507E-2</v>
      </c>
    </row>
    <row r="43" spans="1:6" ht="17.25" thickBot="1">
      <c r="A43" s="54">
        <v>266.27</v>
      </c>
      <c r="B43">
        <v>2598</v>
      </c>
      <c r="C43" s="96">
        <v>1.6199999999999999E-2</v>
      </c>
      <c r="D43" s="96">
        <v>1.1010994041009383E-2</v>
      </c>
      <c r="E43" s="96">
        <v>1.7216357527683347E-2</v>
      </c>
      <c r="F43" s="96">
        <v>1.7794520547945204E-2</v>
      </c>
    </row>
    <row r="44" spans="1:6" ht="17.25" thickBot="1">
      <c r="A44" s="54">
        <v>266.64</v>
      </c>
      <c r="B44">
        <v>2500</v>
      </c>
      <c r="C44" s="96">
        <v>1.5599999999999999E-2</v>
      </c>
      <c r="D44" s="96">
        <v>1.0595644766175312E-2</v>
      </c>
      <c r="E44" s="96">
        <v>1.6566933725638323E-2</v>
      </c>
      <c r="F44" s="96">
        <v>1.7123287671232876E-2</v>
      </c>
    </row>
    <row r="45" spans="1:6" ht="17.25" thickBot="1">
      <c r="A45" s="56">
        <v>266.82</v>
      </c>
      <c r="B45">
        <v>2450</v>
      </c>
      <c r="C45" s="96">
        <v>1.5299999999999999E-2</v>
      </c>
      <c r="D45" s="96">
        <v>1.0383731870851806E-2</v>
      </c>
      <c r="E45" s="96">
        <v>1.6235595051125557E-2</v>
      </c>
      <c r="F45" s="96">
        <v>1.678082191780822E-2</v>
      </c>
    </row>
    <row r="46" spans="1:6" ht="17.25" thickBot="1">
      <c r="A46" s="54">
        <v>266.93</v>
      </c>
      <c r="B46">
        <v>2348</v>
      </c>
      <c r="C46" s="96">
        <v>1.47E-2</v>
      </c>
      <c r="D46" s="96">
        <v>9.9514295643918522E-3</v>
      </c>
      <c r="E46" s="96">
        <v>1.5559664155119514E-2</v>
      </c>
      <c r="F46" s="96">
        <v>1.6082191780821917E-2</v>
      </c>
    </row>
    <row r="47" spans="1:6" ht="17.25" thickBot="1">
      <c r="A47" s="54">
        <v>267.08</v>
      </c>
      <c r="B47">
        <v>2299</v>
      </c>
      <c r="C47" s="96">
        <v>1.44E-2</v>
      </c>
      <c r="D47" s="96">
        <v>9.7437549269748167E-3</v>
      </c>
      <c r="E47" s="96">
        <v>1.5234952254097003E-2</v>
      </c>
      <c r="F47" s="96">
        <v>1.5746575342465752E-2</v>
      </c>
    </row>
    <row r="48" spans="1:6" ht="17.25" thickBot="1">
      <c r="A48" s="54">
        <v>267.2</v>
      </c>
      <c r="B48">
        <v>2248</v>
      </c>
      <c r="C48" s="96">
        <v>1.4E-2</v>
      </c>
      <c r="D48" s="96">
        <v>9.5276037737448398E-3</v>
      </c>
      <c r="E48" s="96">
        <v>1.4896986806093981E-2</v>
      </c>
      <c r="F48" s="96">
        <v>1.5397260273972603E-2</v>
      </c>
    </row>
    <row r="49" spans="1:6" ht="17.25" thickBot="1">
      <c r="A49" s="54">
        <v>267.26</v>
      </c>
      <c r="B49">
        <v>2199</v>
      </c>
      <c r="C49" s="96">
        <v>1.37E-2</v>
      </c>
      <c r="D49" s="96">
        <v>9.3199291363278043E-3</v>
      </c>
      <c r="E49" s="96">
        <v>1.4572274905071471E-2</v>
      </c>
      <c r="F49" s="96">
        <v>1.5061643835616438E-2</v>
      </c>
    </row>
    <row r="50" spans="1:6" ht="17.25" thickBot="1">
      <c r="A50" s="54">
        <v>267.27999999999997</v>
      </c>
      <c r="B50">
        <v>2150</v>
      </c>
      <c r="C50" s="96">
        <v>1.34E-2</v>
      </c>
      <c r="D50" s="96">
        <v>9.1122544989107671E-3</v>
      </c>
      <c r="E50" s="96">
        <v>1.4247563004048959E-2</v>
      </c>
      <c r="F50" s="96">
        <v>1.4726027397260274E-2</v>
      </c>
    </row>
    <row r="51" spans="1:6" ht="17.25" thickBot="1">
      <c r="A51" s="54">
        <v>267.36</v>
      </c>
      <c r="B51">
        <v>2099</v>
      </c>
      <c r="C51" s="96">
        <v>1.3100000000000001E-2</v>
      </c>
      <c r="D51" s="96">
        <v>8.896103345680792E-3</v>
      </c>
      <c r="E51" s="96">
        <v>1.3909597556045936E-2</v>
      </c>
      <c r="F51" s="96">
        <v>1.4376712328767123E-2</v>
      </c>
    </row>
    <row r="52" spans="1:6" ht="17.25" thickBot="1">
      <c r="A52" s="54">
        <v>267.52</v>
      </c>
      <c r="B52">
        <v>2049</v>
      </c>
      <c r="C52" s="96">
        <v>1.2800000000000001E-2</v>
      </c>
      <c r="D52" s="96">
        <v>8.6841904503572858E-3</v>
      </c>
      <c r="E52" s="96">
        <v>1.357825888153317E-2</v>
      </c>
      <c r="F52" s="96">
        <v>1.4034246575342467E-2</v>
      </c>
    </row>
    <row r="53" spans="1:6" ht="17.25" thickBot="1">
      <c r="A53" s="54">
        <v>267.79000000000002</v>
      </c>
      <c r="B53">
        <v>1998</v>
      </c>
      <c r="C53" s="96">
        <v>1.2500000000000001E-2</v>
      </c>
      <c r="D53" s="96">
        <v>8.468039297127309E-3</v>
      </c>
      <c r="E53" s="96">
        <v>1.3240293433530148E-2</v>
      </c>
      <c r="F53" s="96">
        <v>1.3684931506849315E-2</v>
      </c>
    </row>
    <row r="54" spans="1:6" ht="17.25" thickBot="1">
      <c r="A54" s="54">
        <v>267.91000000000003</v>
      </c>
      <c r="B54">
        <v>1948</v>
      </c>
      <c r="C54" s="96">
        <v>1.2200000000000001E-2</v>
      </c>
      <c r="D54" s="96">
        <v>8.2561264018038028E-3</v>
      </c>
      <c r="E54" s="96">
        <v>1.2908954759017382E-2</v>
      </c>
      <c r="F54" s="96">
        <v>1.3342465753424657E-2</v>
      </c>
    </row>
    <row r="55" spans="1:6" ht="17.25" thickBot="1">
      <c r="A55" s="54">
        <v>267.98</v>
      </c>
      <c r="B55">
        <v>1899</v>
      </c>
      <c r="C55" s="96">
        <v>1.1900000000000001E-2</v>
      </c>
      <c r="D55" s="96">
        <v>8.0484517643867673E-3</v>
      </c>
      <c r="E55" s="96">
        <v>1.258424285799487E-2</v>
      </c>
      <c r="F55" s="96">
        <v>1.3006849315068493E-2</v>
      </c>
    </row>
    <row r="56" spans="1:6" ht="17.25" thickBot="1">
      <c r="A56" s="54">
        <v>268.18</v>
      </c>
      <c r="B56">
        <v>1849</v>
      </c>
      <c r="C56" s="96">
        <v>1.15E-2</v>
      </c>
      <c r="D56" s="96">
        <v>7.8365388690632594E-3</v>
      </c>
      <c r="E56" s="96">
        <v>1.2252904183482105E-2</v>
      </c>
      <c r="F56" s="96">
        <v>1.2664383561643835E-2</v>
      </c>
    </row>
    <row r="57" spans="1:6" ht="17.25" thickBot="1">
      <c r="A57" s="54">
        <v>268.33</v>
      </c>
      <c r="B57">
        <v>1800</v>
      </c>
      <c r="C57" s="96">
        <v>1.12E-2</v>
      </c>
      <c r="D57" s="96">
        <v>7.6288642316462239E-3</v>
      </c>
      <c r="E57" s="96">
        <v>1.1928192282459593E-2</v>
      </c>
      <c r="F57" s="96">
        <v>1.2328767123287671E-2</v>
      </c>
    </row>
    <row r="58" spans="1:6" ht="17.25" thickBot="1">
      <c r="A58" s="57">
        <v>268.47000000000003</v>
      </c>
      <c r="B58">
        <v>1749</v>
      </c>
      <c r="C58" s="96">
        <v>1.09E-2</v>
      </c>
      <c r="D58" s="96">
        <v>7.4127130784162479E-3</v>
      </c>
      <c r="E58" s="96">
        <v>1.1590226834456572E-2</v>
      </c>
      <c r="F58" s="96">
        <v>1.1979452054794521E-2</v>
      </c>
    </row>
    <row r="59" spans="1:6" ht="17.25" thickBot="1">
      <c r="A59" s="54">
        <v>268.54000000000002</v>
      </c>
      <c r="B59">
        <v>1700</v>
      </c>
      <c r="C59" s="96">
        <v>1.06E-2</v>
      </c>
      <c r="D59" s="96">
        <v>7.2050384409992115E-3</v>
      </c>
      <c r="E59" s="96">
        <v>1.126551493343406E-2</v>
      </c>
      <c r="F59" s="96">
        <v>1.1643835616438357E-2</v>
      </c>
    </row>
    <row r="60" spans="1:6" ht="17.25" thickBot="1">
      <c r="A60" s="54">
        <v>268.7</v>
      </c>
      <c r="B60">
        <v>1649</v>
      </c>
      <c r="C60" s="96">
        <v>1.03E-2</v>
      </c>
      <c r="D60" s="96">
        <v>6.9888872877692356E-3</v>
      </c>
      <c r="E60" s="96">
        <v>1.0927549485431039E-2</v>
      </c>
      <c r="F60" s="96">
        <v>1.1294520547945205E-2</v>
      </c>
    </row>
    <row r="61" spans="1:6" ht="17.25" thickBot="1">
      <c r="A61" s="56">
        <v>268.83999999999997</v>
      </c>
      <c r="B61">
        <v>1599</v>
      </c>
      <c r="C61" s="96">
        <v>0.01</v>
      </c>
      <c r="D61" s="96">
        <v>6.7769743924457294E-3</v>
      </c>
      <c r="E61" s="96">
        <v>1.0596210810918272E-2</v>
      </c>
      <c r="F61" s="96">
        <v>1.0952054794520548E-2</v>
      </c>
    </row>
    <row r="62" spans="1:6" ht="17.25" thickBot="1">
      <c r="A62" s="54">
        <v>269.01</v>
      </c>
      <c r="B62">
        <v>1549</v>
      </c>
      <c r="C62" s="96">
        <v>9.7000000000000003E-3</v>
      </c>
      <c r="D62" s="96">
        <v>6.5650614971222232E-3</v>
      </c>
      <c r="E62" s="96">
        <v>1.0264872136405506E-2</v>
      </c>
      <c r="F62" s="96">
        <v>1.060958904109589E-2</v>
      </c>
    </row>
    <row r="63" spans="1:6" ht="17.25" thickBot="1">
      <c r="A63" s="54">
        <v>269.26</v>
      </c>
      <c r="B63">
        <v>1499</v>
      </c>
      <c r="C63" s="96">
        <v>9.4000000000000004E-3</v>
      </c>
      <c r="D63" s="96">
        <v>6.3531486017987171E-3</v>
      </c>
      <c r="E63" s="96">
        <v>9.9335334618927389E-3</v>
      </c>
      <c r="F63" s="96">
        <v>1.0267123287671234E-2</v>
      </c>
    </row>
    <row r="64" spans="1:6" ht="17.25" thickBot="1">
      <c r="A64" s="54">
        <v>269.33</v>
      </c>
      <c r="B64">
        <v>1398</v>
      </c>
      <c r="C64" s="96">
        <v>8.6999999999999994E-3</v>
      </c>
      <c r="D64" s="96">
        <v>5.9250845532452341E-3</v>
      </c>
      <c r="E64" s="96">
        <v>9.2642293393769507E-3</v>
      </c>
      <c r="F64" s="96">
        <v>9.5753424657534243E-3</v>
      </c>
    </row>
    <row r="65" spans="1:6" ht="17.25" thickBot="1">
      <c r="A65" s="54">
        <v>269.63</v>
      </c>
      <c r="B65">
        <v>1350</v>
      </c>
      <c r="C65" s="96">
        <v>8.3999999999999995E-3</v>
      </c>
      <c r="D65" s="96">
        <v>5.7216481737346683E-3</v>
      </c>
      <c r="E65" s="96">
        <v>8.9461442118446942E-3</v>
      </c>
      <c r="F65" s="96">
        <v>9.2465753424657536E-3</v>
      </c>
    </row>
    <row r="66" spans="1:6" ht="17.25" thickBot="1">
      <c r="A66" s="54">
        <v>269.7</v>
      </c>
      <c r="B66">
        <v>1299</v>
      </c>
      <c r="C66" s="96">
        <v>8.0999999999999996E-3</v>
      </c>
      <c r="D66" s="96">
        <v>5.5054970205046915E-3</v>
      </c>
      <c r="E66" s="96">
        <v>8.6081787638416733E-3</v>
      </c>
      <c r="F66" s="96">
        <v>8.8972602739726021E-3</v>
      </c>
    </row>
    <row r="67" spans="1:6" ht="17.25" thickBot="1">
      <c r="A67" s="57">
        <v>269.95</v>
      </c>
      <c r="B67">
        <v>1248</v>
      </c>
      <c r="C67" s="96">
        <v>7.7999999999999996E-3</v>
      </c>
      <c r="D67" s="96">
        <v>5.2893458672747156E-3</v>
      </c>
      <c r="E67" s="96">
        <v>8.2702133158386506E-3</v>
      </c>
      <c r="F67" s="96">
        <v>8.5479452054794524E-3</v>
      </c>
    </row>
    <row r="68" spans="1:6" ht="17.25" thickBot="1">
      <c r="A68" s="54">
        <v>270.26</v>
      </c>
      <c r="B68">
        <v>1198</v>
      </c>
      <c r="C68" s="96">
        <v>7.4999999999999997E-3</v>
      </c>
      <c r="D68" s="96">
        <v>5.0774329719512094E-3</v>
      </c>
      <c r="E68" s="96">
        <v>7.938874641325885E-3</v>
      </c>
      <c r="F68" s="96">
        <v>8.2054794520547945E-3</v>
      </c>
    </row>
    <row r="69" spans="1:6" ht="17.25" thickBot="1">
      <c r="A69" s="54">
        <v>270.51</v>
      </c>
      <c r="B69">
        <v>1149</v>
      </c>
      <c r="C69" s="96">
        <v>7.1999999999999998E-3</v>
      </c>
      <c r="D69" s="96">
        <v>4.869758334534173E-3</v>
      </c>
      <c r="E69" s="96">
        <v>7.614162740303374E-3</v>
      </c>
      <c r="F69" s="96">
        <v>7.8698630136986303E-3</v>
      </c>
    </row>
    <row r="70" spans="1:6" ht="17.25" thickBot="1">
      <c r="A70" s="54">
        <v>270.91000000000003</v>
      </c>
      <c r="B70">
        <v>1099</v>
      </c>
      <c r="C70" s="96">
        <v>6.8999999999999999E-3</v>
      </c>
      <c r="D70" s="96">
        <v>4.6578454392106668E-3</v>
      </c>
      <c r="E70" s="96">
        <v>7.2828240657906076E-3</v>
      </c>
      <c r="F70" s="96">
        <v>7.5273972602739724E-3</v>
      </c>
    </row>
    <row r="71" spans="1:6" ht="17.25" thickBot="1">
      <c r="A71" s="54">
        <v>271.08</v>
      </c>
      <c r="B71">
        <v>1050</v>
      </c>
      <c r="C71" s="96">
        <v>6.6E-3</v>
      </c>
      <c r="D71" s="96">
        <v>4.4501708017936304E-3</v>
      </c>
      <c r="E71" s="96">
        <v>6.9581121647680957E-3</v>
      </c>
      <c r="F71" s="96">
        <v>7.1917808219178082E-3</v>
      </c>
    </row>
    <row r="72" spans="1:6" ht="17.25" thickBot="1">
      <c r="A72" s="54">
        <v>271.18</v>
      </c>
      <c r="B72">
        <v>999</v>
      </c>
      <c r="C72" s="96">
        <v>6.1999999999999998E-3</v>
      </c>
      <c r="D72" s="96">
        <v>4.2340196485636545E-3</v>
      </c>
      <c r="E72" s="96">
        <v>6.6201467167650739E-3</v>
      </c>
      <c r="F72" s="96">
        <v>6.8424657534246576E-3</v>
      </c>
    </row>
    <row r="73" spans="1:6" ht="17.25" thickBot="1">
      <c r="A73" s="54">
        <v>271.47000000000003</v>
      </c>
      <c r="B73">
        <v>949</v>
      </c>
      <c r="C73" s="96">
        <v>5.8999999999999999E-3</v>
      </c>
      <c r="D73" s="96">
        <v>4.0221067532401483E-3</v>
      </c>
      <c r="E73" s="96">
        <v>6.2888080422523075E-3</v>
      </c>
      <c r="F73" s="96">
        <v>6.4999999999999997E-3</v>
      </c>
    </row>
    <row r="74" spans="1:6" ht="17.25" thickBot="1">
      <c r="A74" s="54">
        <v>271.64</v>
      </c>
      <c r="B74">
        <v>899</v>
      </c>
      <c r="C74" s="96">
        <v>5.5999999999999999E-3</v>
      </c>
      <c r="D74" s="96">
        <v>3.8101938579166422E-3</v>
      </c>
      <c r="E74" s="96">
        <v>5.957469367739541E-3</v>
      </c>
      <c r="F74" s="96">
        <v>6.1575342465753427E-3</v>
      </c>
    </row>
    <row r="75" spans="1:6" ht="17.25" thickBot="1">
      <c r="A75" s="113">
        <v>271.7</v>
      </c>
      <c r="B75">
        <v>800</v>
      </c>
      <c r="C75" s="96">
        <v>5.0000000000000001E-3</v>
      </c>
      <c r="D75" s="96">
        <v>3.3906063251760996E-3</v>
      </c>
      <c r="E75" s="96">
        <v>5.3014187922042636E-3</v>
      </c>
      <c r="F75" s="96">
        <v>5.4794520547945206E-3</v>
      </c>
    </row>
    <row r="76" spans="1:6" ht="17.25" thickBot="1">
      <c r="A76" s="54">
        <v>272.14</v>
      </c>
      <c r="B76">
        <v>749</v>
      </c>
      <c r="C76" s="96">
        <v>4.7000000000000002E-3</v>
      </c>
      <c r="D76" s="96">
        <v>3.1744551719461232E-3</v>
      </c>
      <c r="E76" s="96">
        <v>4.9634533442012418E-3</v>
      </c>
      <c r="F76" s="96">
        <v>5.13013698630137E-3</v>
      </c>
    </row>
    <row r="77" spans="1:6" ht="17.25" thickBot="1">
      <c r="A77" s="54">
        <v>272.26</v>
      </c>
      <c r="B77">
        <v>700</v>
      </c>
      <c r="C77" s="96">
        <v>4.4000000000000003E-3</v>
      </c>
      <c r="D77" s="96">
        <v>2.9667805345290873E-3</v>
      </c>
      <c r="E77" s="96">
        <v>4.6387414431787307E-3</v>
      </c>
      <c r="F77" s="96">
        <v>4.7945205479452057E-3</v>
      </c>
    </row>
    <row r="78" spans="1:6" ht="17.25" thickBot="1">
      <c r="A78" s="54">
        <v>272.33</v>
      </c>
      <c r="B78">
        <v>650</v>
      </c>
      <c r="C78" s="96">
        <v>4.1000000000000003E-3</v>
      </c>
      <c r="D78" s="96">
        <v>2.7548676392055811E-3</v>
      </c>
      <c r="E78" s="96">
        <v>4.3074027686659643E-3</v>
      </c>
      <c r="F78" s="96">
        <v>4.4520547945205479E-3</v>
      </c>
    </row>
    <row r="79" spans="1:6" ht="17.25" thickBot="1">
      <c r="A79" s="54">
        <v>272.76</v>
      </c>
      <c r="B79">
        <v>600</v>
      </c>
      <c r="C79" s="96">
        <v>3.7000000000000002E-3</v>
      </c>
      <c r="D79" s="96">
        <v>2.5429547438820749E-3</v>
      </c>
      <c r="E79" s="96">
        <v>3.9760640941531979E-3</v>
      </c>
      <c r="F79" s="96">
        <v>4.10958904109589E-3</v>
      </c>
    </row>
    <row r="80" spans="1:6" ht="17.25" thickBot="1">
      <c r="A80" s="54">
        <v>272.95</v>
      </c>
      <c r="B80">
        <v>550</v>
      </c>
      <c r="C80" s="96">
        <v>3.3999999999999998E-3</v>
      </c>
      <c r="D80" s="96">
        <v>2.3310418485585683E-3</v>
      </c>
      <c r="E80" s="96">
        <v>3.6447254196404315E-3</v>
      </c>
      <c r="F80" s="96">
        <v>3.767123287671233E-3</v>
      </c>
    </row>
    <row r="81" spans="1:6" ht="17.25" thickBot="1">
      <c r="A81" s="56">
        <v>273.29000000000002</v>
      </c>
      <c r="B81">
        <v>499</v>
      </c>
      <c r="C81" s="96">
        <v>3.0999999999999999E-3</v>
      </c>
      <c r="D81" s="96">
        <v>2.1148906953285919E-3</v>
      </c>
      <c r="E81" s="96">
        <v>3.3067599716374092E-3</v>
      </c>
      <c r="F81" s="96">
        <v>3.417808219178082E-3</v>
      </c>
    </row>
    <row r="82" spans="1:6" ht="17.25" thickBot="1">
      <c r="A82" s="54">
        <v>273.91000000000003</v>
      </c>
      <c r="B82">
        <v>449</v>
      </c>
      <c r="C82" s="96">
        <v>2.8E-3</v>
      </c>
      <c r="D82" s="96">
        <v>1.902977800005086E-3</v>
      </c>
      <c r="E82" s="96">
        <v>2.9754212971246428E-3</v>
      </c>
      <c r="F82" s="96">
        <v>3.0753424657534245E-3</v>
      </c>
    </row>
    <row r="83" spans="1:6" ht="17.25" thickBot="1">
      <c r="A83" s="57">
        <v>274.08</v>
      </c>
      <c r="B83">
        <v>400</v>
      </c>
      <c r="C83" s="96">
        <v>2.5000000000000001E-3</v>
      </c>
      <c r="D83" s="96">
        <v>1.6953031625880498E-3</v>
      </c>
      <c r="E83" s="96">
        <v>2.6507093961021318E-3</v>
      </c>
      <c r="F83" s="96">
        <v>2.7397260273972603E-3</v>
      </c>
    </row>
    <row r="84" spans="1:6" ht="17.25" thickBot="1">
      <c r="A84" s="54">
        <v>274.45999999999998</v>
      </c>
      <c r="B84">
        <v>349</v>
      </c>
      <c r="C84" s="96">
        <v>2.2000000000000001E-3</v>
      </c>
      <c r="D84" s="96">
        <v>1.4791520093580734E-3</v>
      </c>
      <c r="E84" s="96">
        <v>2.31274394809911E-3</v>
      </c>
      <c r="F84" s="96">
        <v>2.3904109589041097E-3</v>
      </c>
    </row>
    <row r="85" spans="1:6" ht="17.25" thickBot="1">
      <c r="A85" s="56">
        <v>274.7</v>
      </c>
      <c r="B85">
        <v>299</v>
      </c>
      <c r="C85" s="96">
        <v>1.9E-3</v>
      </c>
      <c r="D85" s="96">
        <v>1.2672391140345672E-3</v>
      </c>
      <c r="E85" s="96">
        <v>1.9814052735863436E-3</v>
      </c>
      <c r="F85" s="96">
        <v>2.0479452054794523E-3</v>
      </c>
    </row>
    <row r="86" spans="1:6" ht="17.25" thickBot="1">
      <c r="A86" s="54">
        <v>275.66000000000003</v>
      </c>
      <c r="B86">
        <v>249</v>
      </c>
      <c r="C86" s="96">
        <v>1.6000000000000001E-3</v>
      </c>
      <c r="D86" s="96">
        <v>1.0553262187110611E-3</v>
      </c>
      <c r="E86" s="96">
        <v>1.6500665990735771E-3</v>
      </c>
      <c r="F86" s="96">
        <v>1.7054794520547946E-3</v>
      </c>
    </row>
    <row r="87" spans="1:6" ht="17.25" thickBot="1">
      <c r="A87" s="54">
        <v>275.95</v>
      </c>
      <c r="B87">
        <v>225</v>
      </c>
      <c r="C87" s="96">
        <v>1.4E-3</v>
      </c>
      <c r="D87" s="96">
        <v>9.5360802895577798E-4</v>
      </c>
      <c r="E87" s="96">
        <v>1.4910240353074491E-3</v>
      </c>
      <c r="F87" s="96">
        <v>1.5410958904109589E-3</v>
      </c>
    </row>
    <row r="88" spans="1:6" ht="17.25" thickBot="1">
      <c r="A88" s="54">
        <v>276.33</v>
      </c>
      <c r="B88">
        <v>200</v>
      </c>
      <c r="C88" s="96">
        <v>1.2999999999999999E-3</v>
      </c>
      <c r="D88" s="96">
        <v>8.476515812940249E-4</v>
      </c>
      <c r="E88" s="96">
        <v>1.3253546980510659E-3</v>
      </c>
      <c r="F88" s="96">
        <v>1.3698630136986301E-3</v>
      </c>
    </row>
    <row r="89" spans="1:6" ht="17.25" thickBot="1">
      <c r="A89" s="54">
        <v>276.45999999999998</v>
      </c>
      <c r="B89">
        <v>175</v>
      </c>
      <c r="C89" s="96">
        <v>1.1000000000000001E-3</v>
      </c>
      <c r="D89" s="96">
        <v>7.4169513363227181E-4</v>
      </c>
      <c r="E89" s="96">
        <v>1.1596853607946827E-3</v>
      </c>
      <c r="F89" s="96">
        <v>1.1986301369863014E-3</v>
      </c>
    </row>
    <row r="90" spans="1:6" ht="17.25" thickBot="1">
      <c r="A90" s="54">
        <v>277.08</v>
      </c>
      <c r="B90">
        <v>150</v>
      </c>
      <c r="C90" s="96">
        <v>8.9999999999999998E-4</v>
      </c>
      <c r="D90" s="96">
        <v>6.3573868597051873E-4</v>
      </c>
      <c r="E90" s="96">
        <v>9.9401602353829947E-4</v>
      </c>
      <c r="F90" s="96">
        <v>1.0273972602739725E-3</v>
      </c>
    </row>
    <row r="91" spans="1:6" ht="17.25" thickBot="1">
      <c r="A91" s="57">
        <v>277.2</v>
      </c>
      <c r="B91">
        <v>60</v>
      </c>
      <c r="C91" s="96">
        <v>4.0000000000000002E-4</v>
      </c>
      <c r="D91" s="96">
        <v>2.5429547438820746E-4</v>
      </c>
      <c r="E91" s="96">
        <v>3.9760640941531979E-4</v>
      </c>
      <c r="F91" s="96">
        <v>4.1095890410958907E-4</v>
      </c>
    </row>
    <row r="92" spans="1:6" ht="17.25" thickBot="1">
      <c r="A92" s="54">
        <v>278.33</v>
      </c>
      <c r="B92">
        <v>45</v>
      </c>
      <c r="C92" s="96">
        <v>2.9999999999999997E-4</v>
      </c>
      <c r="D92" s="96">
        <v>1.9072160579115561E-4</v>
      </c>
      <c r="E92" s="96">
        <v>2.9820480706148984E-4</v>
      </c>
      <c r="F92" s="96">
        <v>3.0821917808219177E-4</v>
      </c>
    </row>
    <row r="93" spans="1:6" ht="17.25" thickBot="1">
      <c r="A93" s="54">
        <v>279.45999999999998</v>
      </c>
      <c r="B93">
        <v>15</v>
      </c>
      <c r="C93" s="96">
        <v>1E-4</v>
      </c>
      <c r="D93" s="96">
        <v>6.3573868597051865E-5</v>
      </c>
      <c r="E93" s="96">
        <v>9.9401602353829947E-5</v>
      </c>
      <c r="F93" s="96">
        <v>1.0273972602739727E-4</v>
      </c>
    </row>
  </sheetData>
  <sheetProtection algorithmName="SHA-512" hashValue="KtPcgBdwhvpYLwFunrY7PlR8U4rZv0lMjdJPuUy+XLK0pc8VnHVi5HSK4uM+3R8DlwpbR14tpHs8CgP57SMieA==" saltValue="5XJH9np6BilY8pKdAxJSdQ==" spinCount="100000" sheet="1" objects="1" scenarios="1" selectLockedCells="1" selectUnlockedCells="1"/>
  <autoFilter ref="A1:A93">
    <sortState ref="A2:A93">
      <sortCondition ref="A1:A102"/>
    </sortState>
  </autoFilter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V58"/>
  <sheetViews>
    <sheetView showGridLines="0" topLeftCell="A28" zoomScale="85" zoomScaleNormal="85" workbookViewId="0">
      <selection activeCell="F44" sqref="F44:Q53"/>
    </sheetView>
  </sheetViews>
  <sheetFormatPr defaultRowHeight="13.5"/>
  <cols>
    <col min="1" max="1" width="2" style="240" customWidth="1"/>
    <col min="2" max="2" width="9" style="240"/>
    <col min="3" max="4" width="9.125" style="240" bestFit="1" customWidth="1"/>
    <col min="5" max="5" width="4.625" style="240" customWidth="1"/>
    <col min="6" max="6" width="18.125" style="240" customWidth="1"/>
    <col min="7" max="7" width="8.75" style="240" customWidth="1"/>
    <col min="8" max="8" width="13.625" style="240" customWidth="1"/>
    <col min="9" max="9" width="17.375" style="240" customWidth="1"/>
    <col min="10" max="10" width="4" style="240" customWidth="1"/>
    <col min="11" max="11" width="19.625" style="240" customWidth="1"/>
    <col min="12" max="12" width="9.375" style="240" customWidth="1"/>
    <col min="13" max="13" width="15.875" style="240" customWidth="1"/>
    <col min="14" max="14" width="15.75" style="240" customWidth="1"/>
    <col min="15" max="15" width="11.375" style="240" customWidth="1"/>
    <col min="16" max="16" width="16" style="240" customWidth="1"/>
    <col min="17" max="17" width="9" style="240" customWidth="1"/>
    <col min="18" max="18" width="12.875" style="240" customWidth="1"/>
    <col min="19" max="19" width="15.625" style="240" customWidth="1"/>
    <col min="20" max="20" width="10" style="240" bestFit="1" customWidth="1"/>
    <col min="21" max="16384" width="9" style="240"/>
  </cols>
  <sheetData>
    <row r="1" spans="1:22">
      <c r="R1" s="241"/>
    </row>
    <row r="2" spans="1:22" ht="13.5" customHeight="1">
      <c r="G2" s="284" t="s">
        <v>548</v>
      </c>
      <c r="H2" s="285"/>
      <c r="I2" s="285"/>
      <c r="J2" s="285"/>
      <c r="K2" s="285"/>
      <c r="L2" s="285"/>
      <c r="M2" s="285"/>
      <c r="N2" s="285"/>
      <c r="O2" s="285"/>
      <c r="P2" s="285"/>
      <c r="Q2" s="286"/>
      <c r="R2" s="242"/>
    </row>
    <row r="3" spans="1:22" ht="13.5" customHeight="1">
      <c r="G3" s="287"/>
      <c r="H3" s="288"/>
      <c r="I3" s="288"/>
      <c r="J3" s="288"/>
      <c r="K3" s="288"/>
      <c r="L3" s="288"/>
      <c r="M3" s="288"/>
      <c r="N3" s="288"/>
      <c r="O3" s="288"/>
      <c r="P3" s="288"/>
      <c r="Q3" s="289"/>
      <c r="R3" s="243"/>
    </row>
    <row r="4" spans="1:22">
      <c r="I4" s="244" t="s">
        <v>162</v>
      </c>
      <c r="J4" s="245" t="s">
        <v>544</v>
      </c>
      <c r="L4" s="240" t="s">
        <v>524</v>
      </c>
    </row>
    <row r="5" spans="1:22">
      <c r="K5" s="246"/>
      <c r="L5" s="246"/>
      <c r="M5" s="246"/>
      <c r="N5" s="246"/>
      <c r="O5" s="246"/>
      <c r="P5" s="246" t="s">
        <v>353</v>
      </c>
      <c r="Q5" s="246"/>
      <c r="R5" s="246"/>
      <c r="S5" s="246"/>
    </row>
    <row r="7" spans="1:22" ht="18.75"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</row>
    <row r="9" spans="1:22">
      <c r="F9" s="297" t="s">
        <v>295</v>
      </c>
      <c r="G9" s="298"/>
      <c r="H9" s="247" t="s">
        <v>406</v>
      </c>
      <c r="I9" s="248" t="s">
        <v>435</v>
      </c>
      <c r="K9" s="297" t="s">
        <v>297</v>
      </c>
      <c r="L9" s="298"/>
      <c r="M9" s="247" t="s">
        <v>406</v>
      </c>
      <c r="N9" s="249" t="s">
        <v>436</v>
      </c>
      <c r="O9" s="250"/>
      <c r="P9" s="297" t="s">
        <v>298</v>
      </c>
      <c r="Q9" s="298"/>
      <c r="R9" s="247" t="s">
        <v>406</v>
      </c>
      <c r="S9" s="249" t="s">
        <v>436</v>
      </c>
      <c r="U9" s="250"/>
      <c r="V9" s="250"/>
    </row>
    <row r="10" spans="1:22">
      <c r="F10" s="251" t="s">
        <v>407</v>
      </c>
      <c r="G10" s="252">
        <f>계산!I12</f>
        <v>322.54750000000001</v>
      </c>
      <c r="H10" s="253" t="str">
        <f ca="1">청솔누적!H9</f>
        <v>2.5%~2.6%</v>
      </c>
      <c r="I10" s="249" t="str">
        <f ca="1">칼레누적!H9</f>
        <v>2.75%~2.81%</v>
      </c>
      <c r="K10" s="251" t="s">
        <v>420</v>
      </c>
      <c r="L10" s="252">
        <f>계산!I10</f>
        <v>517.31999999999994</v>
      </c>
      <c r="M10" s="253" t="str">
        <f ca="1">청솔누적!H7</f>
        <v>2.4%~2.5%</v>
      </c>
      <c r="N10" s="249" t="str">
        <f ca="1">계산!L10</f>
        <v>2.31%~2.37%</v>
      </c>
      <c r="O10" s="244"/>
      <c r="P10" s="251" t="s">
        <v>146</v>
      </c>
      <c r="Q10" s="252">
        <f>L16</f>
        <v>943.72570506950706</v>
      </c>
      <c r="R10" s="254" t="str">
        <f ca="1">H17</f>
        <v>2.5%~2.6%</v>
      </c>
      <c r="S10" s="249" t="str">
        <f ca="1">N16</f>
        <v>2.75%~2.81%</v>
      </c>
      <c r="U10" s="244"/>
      <c r="V10" s="244"/>
    </row>
    <row r="11" spans="1:22">
      <c r="E11" s="255"/>
      <c r="F11" s="251" t="s">
        <v>523</v>
      </c>
      <c r="G11" s="252">
        <f>계산!I13</f>
        <v>321.43928571428575</v>
      </c>
      <c r="H11" s="253" t="str">
        <f ca="1">계산!K13</f>
        <v>3.5%~3.7%</v>
      </c>
      <c r="I11" s="249" t="e">
        <f ca="1">계산!L13</f>
        <v>#N/A</v>
      </c>
      <c r="K11" s="251" t="s">
        <v>421</v>
      </c>
      <c r="L11" s="252" t="e">
        <f>계산!I11</f>
        <v>#N/A</v>
      </c>
      <c r="M11" s="253" t="e">
        <f ca="1">청솔누적!H8</f>
        <v>#N/A</v>
      </c>
      <c r="N11" s="249" t="e">
        <f ca="1">계산!L11</f>
        <v>#N/A</v>
      </c>
      <c r="O11" s="256"/>
      <c r="P11" s="251" t="s">
        <v>431</v>
      </c>
      <c r="Q11" s="252">
        <f>계산!I34</f>
        <v>614.25</v>
      </c>
      <c r="R11" s="254"/>
      <c r="S11" s="249"/>
      <c r="U11" s="244"/>
      <c r="V11" s="244"/>
    </row>
    <row r="12" spans="1:22">
      <c r="A12" s="257"/>
      <c r="F12" s="251" t="s">
        <v>340</v>
      </c>
      <c r="G12" s="252">
        <f>계산!I14</f>
        <v>466.66087359518013</v>
      </c>
      <c r="H12" s="253"/>
      <c r="I12" s="249" t="str">
        <f ca="1">칼레누적!H11</f>
        <v>3.37%~3.43%</v>
      </c>
      <c r="K12" s="251" t="s">
        <v>422</v>
      </c>
      <c r="L12" s="252">
        <f>계산!I19/0.7</f>
        <v>937.87330655017945</v>
      </c>
      <c r="M12" s="253" t="str">
        <f ca="1">H16</f>
        <v>2.8%~3%</v>
      </c>
      <c r="N12" s="249" t="str">
        <f ca="1">칼레누적!H16</f>
        <v>3.18%~3.24%</v>
      </c>
      <c r="O12" s="244"/>
      <c r="P12" s="251" t="s">
        <v>432</v>
      </c>
      <c r="Q12" s="252">
        <f>L17</f>
        <v>452.13</v>
      </c>
      <c r="R12" s="254" t="str">
        <f ca="1">H18</f>
        <v>2.4%~2.5%</v>
      </c>
      <c r="S12" s="249"/>
      <c r="U12" s="244"/>
      <c r="V12" s="244"/>
    </row>
    <row r="13" spans="1:22">
      <c r="F13" s="251" t="s">
        <v>408</v>
      </c>
      <c r="G13" s="252">
        <f>계산!I15</f>
        <v>471.6462433831486</v>
      </c>
      <c r="H13" s="253" t="str">
        <f ca="1">청솔누적!H11</f>
        <v>2.5%~2.6%</v>
      </c>
      <c r="I13" s="249" t="str">
        <f ca="1">칼레누적!H12</f>
        <v>2.75%~2.81%</v>
      </c>
      <c r="K13" s="251" t="s">
        <v>423</v>
      </c>
      <c r="L13" s="252">
        <f>계산!I16</f>
        <v>513.88400000000001</v>
      </c>
      <c r="M13" s="253" t="str">
        <f ca="1">청솔누적!H12</f>
        <v>2.8%~3%</v>
      </c>
      <c r="N13" s="249" t="str">
        <f ca="1">칼레누적!H13</f>
        <v>3.12%~3.18%</v>
      </c>
      <c r="O13" s="244"/>
      <c r="P13" s="251" t="s">
        <v>433</v>
      </c>
      <c r="Q13" s="252">
        <f>L24*0.7</f>
        <v>449.55400000000009</v>
      </c>
      <c r="R13" s="258">
        <f>H23</f>
        <v>2.7999999999999997E-2</v>
      </c>
      <c r="S13" s="249"/>
      <c r="U13" s="244"/>
      <c r="V13" s="244"/>
    </row>
    <row r="14" spans="1:22">
      <c r="A14" s="296"/>
      <c r="B14" s="296"/>
      <c r="C14" s="296"/>
      <c r="D14" s="296"/>
      <c r="F14" s="251" t="s">
        <v>344</v>
      </c>
      <c r="G14" s="252">
        <f>계산!I17</f>
        <v>262.93</v>
      </c>
      <c r="H14" s="253" t="s">
        <v>324</v>
      </c>
      <c r="I14" s="249" t="str">
        <f ca="1">칼레누적!H14</f>
        <v>2.68%~2.68%</v>
      </c>
      <c r="K14" s="251" t="s">
        <v>424</v>
      </c>
      <c r="L14" s="252">
        <f>계산!I17</f>
        <v>262.93</v>
      </c>
      <c r="M14" s="253" t="str">
        <f>H14</f>
        <v>CLOSED</v>
      </c>
      <c r="N14" s="249" t="str">
        <f ca="1">칼레누적!H14</f>
        <v>2.68%~2.68%</v>
      </c>
      <c r="O14" s="244"/>
      <c r="P14" s="251" t="s">
        <v>343</v>
      </c>
      <c r="Q14" s="252">
        <f>계산!I29*1.25</f>
        <v>66</v>
      </c>
      <c r="R14" s="254"/>
      <c r="S14" s="249"/>
      <c r="U14" s="244"/>
      <c r="V14" s="244"/>
    </row>
    <row r="15" spans="1:22">
      <c r="B15" s="290" t="s">
        <v>356</v>
      </c>
      <c r="C15" s="291"/>
      <c r="D15" s="292"/>
      <c r="F15" s="251" t="s">
        <v>409</v>
      </c>
      <c r="G15" s="252">
        <f>계산!I18</f>
        <v>453.87649999999996</v>
      </c>
      <c r="H15" s="253" t="str">
        <f ca="1">청솔누적!H14</f>
        <v>2.6%~2.8%</v>
      </c>
      <c r="I15" s="249" t="str">
        <f ca="1">칼레누적!H15</f>
        <v>2.75%~2.81%</v>
      </c>
      <c r="K15" s="251" t="s">
        <v>425</v>
      </c>
      <c r="L15" s="252">
        <f>계산!I18</f>
        <v>453.87649999999996</v>
      </c>
      <c r="M15" s="253" t="str">
        <f ca="1">H15</f>
        <v>2.6%~2.8%</v>
      </c>
      <c r="N15" s="249" t="str">
        <f ca="1">칼레누적!H15</f>
        <v>2.75%~2.81%</v>
      </c>
      <c r="O15" s="244"/>
      <c r="P15" s="251" t="s">
        <v>342</v>
      </c>
      <c r="Q15" s="252">
        <f>계산!I30*1.25</f>
        <v>66</v>
      </c>
      <c r="R15" s="254"/>
      <c r="S15" s="249"/>
      <c r="U15" s="244"/>
      <c r="V15" s="244"/>
    </row>
    <row r="16" spans="1:22">
      <c r="B16" s="293"/>
      <c r="C16" s="294"/>
      <c r="D16" s="295"/>
      <c r="F16" s="251" t="s">
        <v>410</v>
      </c>
      <c r="G16" s="252">
        <f>계산!I19</f>
        <v>656.51131458512555</v>
      </c>
      <c r="H16" s="253" t="str">
        <f ca="1">청솔누적!H15</f>
        <v>2.8%~3%</v>
      </c>
      <c r="I16" s="249" t="str">
        <f ca="1">칼레누적!H16</f>
        <v>3.18%~3.24%</v>
      </c>
      <c r="J16" s="244"/>
      <c r="K16" s="251" t="s">
        <v>426</v>
      </c>
      <c r="L16" s="252">
        <f>계산!I20/0.7</f>
        <v>943.72570506950706</v>
      </c>
      <c r="M16" s="253" t="str">
        <f ca="1">H17</f>
        <v>2.5%~2.6%</v>
      </c>
      <c r="N16" s="249" t="str">
        <f ca="1">I17</f>
        <v>2.75%~2.81%</v>
      </c>
      <c r="O16" s="244"/>
      <c r="P16" s="251" t="s">
        <v>331</v>
      </c>
      <c r="Q16" s="252">
        <f>L19</f>
        <v>651.8925575447571</v>
      </c>
      <c r="R16" s="254"/>
      <c r="S16" s="249"/>
      <c r="U16" s="244"/>
      <c r="V16" s="244"/>
    </row>
    <row r="17" spans="1:22">
      <c r="B17" s="259" t="s">
        <v>330</v>
      </c>
      <c r="C17" s="259" t="s">
        <v>5</v>
      </c>
      <c r="D17" s="259" t="s">
        <v>3</v>
      </c>
      <c r="F17" s="251" t="s">
        <v>146</v>
      </c>
      <c r="G17" s="252">
        <f>계산!I20</f>
        <v>660.60799354865492</v>
      </c>
      <c r="H17" s="253" t="str">
        <f ca="1">계산!K20</f>
        <v>2.5%~2.6%</v>
      </c>
      <c r="I17" s="249" t="str">
        <f ca="1">칼레누적!H17</f>
        <v>2.75%~2.81%</v>
      </c>
      <c r="J17" s="244"/>
      <c r="K17" s="251" t="s">
        <v>416</v>
      </c>
      <c r="L17" s="252">
        <f>계산!I21</f>
        <v>452.13</v>
      </c>
      <c r="M17" s="253" t="str">
        <f ca="1">H18</f>
        <v>2.4%~2.5%</v>
      </c>
      <c r="N17" s="249"/>
      <c r="O17" s="244"/>
      <c r="P17" s="251" t="s">
        <v>434</v>
      </c>
      <c r="Q17" s="252">
        <f>L20</f>
        <v>660.56660621560877</v>
      </c>
      <c r="R17" s="254" t="str">
        <f ca="1">M20</f>
        <v>2.4%~2.5%</v>
      </c>
      <c r="S17" s="249"/>
      <c r="U17" s="244"/>
      <c r="V17" s="244"/>
    </row>
    <row r="18" spans="1:22" ht="14.25" thickBot="1">
      <c r="B18" s="237" t="s">
        <v>121</v>
      </c>
      <c r="C18" s="238">
        <v>131</v>
      </c>
      <c r="D18" s="238"/>
      <c r="F18" s="251" t="s">
        <v>411</v>
      </c>
      <c r="G18" s="252">
        <f>계산!I21</f>
        <v>452.13</v>
      </c>
      <c r="H18" s="253" t="str">
        <f ca="1">청솔누적!H18</f>
        <v>2.4%~2.5%</v>
      </c>
      <c r="I18" s="249"/>
      <c r="J18" s="244"/>
      <c r="K18" s="251" t="s">
        <v>427</v>
      </c>
      <c r="L18" s="252">
        <f>계산!I22</f>
        <v>662.83565217391299</v>
      </c>
      <c r="M18" s="253"/>
      <c r="N18" s="249"/>
      <c r="O18" s="244"/>
      <c r="P18" s="244"/>
      <c r="Q18" s="244"/>
      <c r="R18" s="244"/>
      <c r="U18" s="244"/>
      <c r="V18" s="244"/>
    </row>
    <row r="19" spans="1:22" ht="13.5" customHeight="1">
      <c r="B19" s="237" t="s">
        <v>341</v>
      </c>
      <c r="C19" s="238">
        <v>132</v>
      </c>
      <c r="D19" s="238"/>
      <c r="F19" s="251" t="s">
        <v>412</v>
      </c>
      <c r="G19" s="252">
        <f>계산!I26</f>
        <v>564.27710183053819</v>
      </c>
      <c r="H19" s="253" t="str">
        <f ca="1">청솔누적!H16</f>
        <v>2.4%~2.5%</v>
      </c>
      <c r="I19" s="249"/>
      <c r="J19" s="244"/>
      <c r="K19" s="251" t="s">
        <v>417</v>
      </c>
      <c r="L19" s="252">
        <f>계산!I23</f>
        <v>651.8925575447571</v>
      </c>
      <c r="M19" s="253"/>
      <c r="N19" s="249"/>
      <c r="O19" s="244"/>
      <c r="P19" s="302" t="s">
        <v>526</v>
      </c>
      <c r="Q19" s="303"/>
      <c r="R19" s="303"/>
      <c r="S19" s="304"/>
      <c r="U19" s="244"/>
      <c r="V19" s="244"/>
    </row>
    <row r="20" spans="1:22">
      <c r="B20" s="237" t="s">
        <v>93</v>
      </c>
      <c r="C20" s="238">
        <v>123</v>
      </c>
      <c r="D20" s="238"/>
      <c r="F20" s="251" t="s">
        <v>413</v>
      </c>
      <c r="G20" s="252">
        <f>계산!I32*70/계산!J32</f>
        <v>66.026438569206846</v>
      </c>
      <c r="H20" s="253"/>
      <c r="I20" s="249"/>
      <c r="J20" s="244"/>
      <c r="K20" s="251" t="s">
        <v>418</v>
      </c>
      <c r="L20" s="252">
        <f>계산!I24</f>
        <v>660.56660621560877</v>
      </c>
      <c r="M20" s="253" t="str">
        <f ca="1">청솔누적!H19</f>
        <v>2.4%~2.5%</v>
      </c>
      <c r="N20" s="249"/>
      <c r="O20" s="244"/>
      <c r="P20" s="305"/>
      <c r="Q20" s="306"/>
      <c r="R20" s="306"/>
      <c r="S20" s="307"/>
      <c r="T20" s="244"/>
      <c r="U20" s="244"/>
      <c r="V20" s="244"/>
    </row>
    <row r="21" spans="1:22">
      <c r="B21" s="239"/>
      <c r="C21" s="238">
        <v>66</v>
      </c>
      <c r="D21" s="238">
        <v>92</v>
      </c>
      <c r="F21" s="251" t="s">
        <v>325</v>
      </c>
      <c r="G21" s="252">
        <f>계산!I35</f>
        <v>481.74437499999999</v>
      </c>
      <c r="H21" s="260">
        <f>청솔누적!F22</f>
        <v>2.6000000000000002E-2</v>
      </c>
      <c r="I21" s="249"/>
      <c r="J21" s="244"/>
      <c r="K21" s="251" t="s">
        <v>301</v>
      </c>
      <c r="L21" s="252">
        <f>계산!I33</f>
        <v>562.5</v>
      </c>
      <c r="M21" s="253"/>
      <c r="N21" s="249"/>
      <c r="O21" s="244"/>
      <c r="P21" s="305"/>
      <c r="Q21" s="306"/>
      <c r="R21" s="306"/>
      <c r="S21" s="307"/>
      <c r="T21" s="244"/>
      <c r="U21" s="244"/>
      <c r="V21" s="244"/>
    </row>
    <row r="22" spans="1:22">
      <c r="B22" s="239"/>
      <c r="C22" s="238">
        <v>67</v>
      </c>
      <c r="D22" s="238">
        <v>94</v>
      </c>
      <c r="F22" s="251" t="s">
        <v>414</v>
      </c>
      <c r="G22" s="252">
        <f>계산!I36</f>
        <v>463.17775</v>
      </c>
      <c r="H22" s="253"/>
      <c r="I22" s="249"/>
      <c r="J22" s="244"/>
      <c r="K22" s="251" t="s">
        <v>419</v>
      </c>
      <c r="L22" s="252">
        <f>G21</f>
        <v>481.74437499999999</v>
      </c>
      <c r="M22" s="261">
        <f>청솔누적!F22</f>
        <v>2.6000000000000002E-2</v>
      </c>
      <c r="N22" s="249"/>
      <c r="O22" s="244"/>
      <c r="P22" s="305"/>
      <c r="Q22" s="306"/>
      <c r="R22" s="306"/>
      <c r="S22" s="307"/>
      <c r="T22" s="244"/>
      <c r="U22" s="244"/>
      <c r="V22" s="244"/>
    </row>
    <row r="23" spans="1:22" ht="16.5" customHeight="1">
      <c r="A23" s="262"/>
      <c r="F23" s="251" t="s">
        <v>415</v>
      </c>
      <c r="G23" s="252">
        <f>L24/0.7</f>
        <v>917.45714285714314</v>
      </c>
      <c r="H23" s="261">
        <f>청솔누적!F20</f>
        <v>2.7999999999999997E-2</v>
      </c>
      <c r="I23" s="249"/>
      <c r="J23" s="244"/>
      <c r="K23" s="251" t="s">
        <v>326</v>
      </c>
      <c r="L23" s="252">
        <f>계산!I36</f>
        <v>463.17775</v>
      </c>
      <c r="M23" s="253"/>
      <c r="N23" s="249"/>
      <c r="O23" s="244"/>
      <c r="P23" s="305"/>
      <c r="Q23" s="306"/>
      <c r="R23" s="306"/>
      <c r="S23" s="307"/>
      <c r="T23" s="244"/>
      <c r="U23" s="244"/>
      <c r="V23" s="244"/>
    </row>
    <row r="24" spans="1:22">
      <c r="A24" s="262"/>
      <c r="B24" s="300" t="s">
        <v>373</v>
      </c>
      <c r="C24" s="301"/>
      <c r="D24" s="301"/>
      <c r="F24" s="251" t="s">
        <v>333</v>
      </c>
      <c r="G24" s="252">
        <f>L25/0.7</f>
        <v>642.23000000000013</v>
      </c>
      <c r="H24" s="261">
        <f>청솔누적!F21</f>
        <v>2.7999999999999997E-2</v>
      </c>
      <c r="I24" s="249"/>
      <c r="K24" s="251" t="s">
        <v>428</v>
      </c>
      <c r="L24" s="252">
        <f>계산!I37/0.7</f>
        <v>642.22000000000014</v>
      </c>
      <c r="M24" s="261">
        <f>H23</f>
        <v>2.7999999999999997E-2</v>
      </c>
      <c r="N24" s="249"/>
      <c r="P24" s="305"/>
      <c r="Q24" s="306"/>
      <c r="R24" s="306"/>
      <c r="S24" s="307"/>
    </row>
    <row r="25" spans="1:22">
      <c r="B25" s="301"/>
      <c r="C25" s="301"/>
      <c r="D25" s="301"/>
      <c r="F25" s="251" t="s">
        <v>343</v>
      </c>
      <c r="G25" s="252">
        <f>계산!I29</f>
        <v>52.8</v>
      </c>
      <c r="H25" s="253"/>
      <c r="I25" s="249"/>
      <c r="K25" s="251" t="s">
        <v>333</v>
      </c>
      <c r="L25" s="252">
        <f>계산!I38</f>
        <v>449.56100000000009</v>
      </c>
      <c r="M25" s="261">
        <f>H24</f>
        <v>2.7999999999999997E-2</v>
      </c>
      <c r="N25" s="249"/>
      <c r="P25" s="305"/>
      <c r="Q25" s="306"/>
      <c r="R25" s="306"/>
      <c r="S25" s="307"/>
    </row>
    <row r="26" spans="1:22">
      <c r="F26" s="251" t="s">
        <v>342</v>
      </c>
      <c r="G26" s="252">
        <f>계산!I30</f>
        <v>52.8</v>
      </c>
      <c r="H26" s="253"/>
      <c r="I26" s="249"/>
      <c r="K26" s="251" t="s">
        <v>429</v>
      </c>
      <c r="L26" s="252">
        <f>계산!I31</f>
        <v>66.25</v>
      </c>
      <c r="M26" s="253"/>
      <c r="N26" s="249"/>
      <c r="P26" s="305"/>
      <c r="Q26" s="306"/>
      <c r="R26" s="306"/>
      <c r="S26" s="307"/>
    </row>
    <row r="27" spans="1:22" ht="14.25" thickBot="1">
      <c r="K27" s="251" t="s">
        <v>430</v>
      </c>
      <c r="L27" s="252">
        <f>계산!I27*0.6</f>
        <v>390.9</v>
      </c>
      <c r="M27" s="253"/>
      <c r="N27" s="249"/>
      <c r="P27" s="308"/>
      <c r="Q27" s="309"/>
      <c r="R27" s="309"/>
      <c r="S27" s="310"/>
    </row>
    <row r="29" spans="1:22" ht="19.5" customHeight="1">
      <c r="G29" s="284" t="s">
        <v>549</v>
      </c>
      <c r="H29" s="285"/>
      <c r="I29" s="285"/>
      <c r="J29" s="285"/>
      <c r="K29" s="285"/>
      <c r="L29" s="285"/>
      <c r="M29" s="285"/>
      <c r="N29" s="285"/>
      <c r="O29" s="285"/>
      <c r="P29" s="285"/>
      <c r="Q29" s="286"/>
      <c r="R29" s="242"/>
    </row>
    <row r="30" spans="1:22" ht="19.5" customHeight="1">
      <c r="G30" s="287"/>
      <c r="H30" s="288"/>
      <c r="I30" s="288"/>
      <c r="J30" s="288"/>
      <c r="K30" s="288"/>
      <c r="L30" s="288"/>
      <c r="M30" s="288"/>
      <c r="N30" s="288"/>
      <c r="O30" s="288"/>
      <c r="P30" s="288"/>
      <c r="Q30" s="289"/>
      <c r="R30" s="243"/>
    </row>
    <row r="31" spans="1:22">
      <c r="I31" s="263"/>
      <c r="L31" s="263"/>
      <c r="M31" s="263"/>
    </row>
    <row r="32" spans="1:22" ht="16.5" customHeight="1">
      <c r="F32" s="297" t="s">
        <v>295</v>
      </c>
      <c r="G32" s="298"/>
      <c r="H32" s="247" t="s">
        <v>406</v>
      </c>
      <c r="I32" s="248" t="s">
        <v>437</v>
      </c>
      <c r="K32" s="297" t="s">
        <v>297</v>
      </c>
      <c r="L32" s="298"/>
      <c r="M32" s="247" t="s">
        <v>496</v>
      </c>
      <c r="N32" s="248" t="s">
        <v>435</v>
      </c>
      <c r="P32" s="297" t="s">
        <v>298</v>
      </c>
      <c r="Q32" s="298"/>
      <c r="R32" s="247" t="s">
        <v>496</v>
      </c>
      <c r="S32" s="248" t="s">
        <v>438</v>
      </c>
    </row>
    <row r="33" spans="6:19" ht="16.5" customHeight="1">
      <c r="F33" s="251" t="s">
        <v>461</v>
      </c>
      <c r="G33" s="252">
        <f>계산!I14</f>
        <v>466.66087359518013</v>
      </c>
      <c r="H33" s="253"/>
      <c r="I33" s="249" t="str">
        <f ca="1">I12</f>
        <v>3.37%~3.43%</v>
      </c>
      <c r="K33" s="251" t="s">
        <v>149</v>
      </c>
      <c r="L33" s="252">
        <f>계산!I10</f>
        <v>517.31999999999994</v>
      </c>
      <c r="M33" s="253" t="str">
        <f ca="1">M10</f>
        <v>2.4%~2.5%</v>
      </c>
      <c r="N33" s="249" t="str">
        <f ca="1">N10</f>
        <v>2.31%~2.37%</v>
      </c>
      <c r="P33" s="251" t="s">
        <v>220</v>
      </c>
      <c r="Q33" s="252">
        <f>계산!I44</f>
        <v>853.41632643571268</v>
      </c>
      <c r="R33" s="264"/>
      <c r="S33" s="249"/>
    </row>
    <row r="34" spans="6:19">
      <c r="F34" s="251" t="s">
        <v>462</v>
      </c>
      <c r="G34" s="252">
        <f>계산!I15</f>
        <v>471.6462433831486</v>
      </c>
      <c r="H34" s="253" t="str">
        <f ca="1">H13</f>
        <v>2.5%~2.6%</v>
      </c>
      <c r="I34" s="249" t="str">
        <f ca="1">I13</f>
        <v>2.75%~2.81%</v>
      </c>
      <c r="K34" s="251" t="s">
        <v>476</v>
      </c>
      <c r="L34" s="252">
        <f>G37</f>
        <v>322.54750000000001</v>
      </c>
      <c r="M34" s="253" t="str">
        <f ca="1">H10</f>
        <v>2.5%~2.6%</v>
      </c>
      <c r="N34" s="249" t="str">
        <f ca="1">I10</f>
        <v>2.75%~2.81%</v>
      </c>
      <c r="P34" s="251" t="s">
        <v>294</v>
      </c>
      <c r="Q34" s="252" t="str">
        <f>계산!I57</f>
        <v>Closed</v>
      </c>
      <c r="R34" s="264"/>
      <c r="S34" s="249"/>
    </row>
    <row r="35" spans="6:19">
      <c r="F35" s="251" t="s">
        <v>144</v>
      </c>
      <c r="G35" s="252">
        <f>계산!I18</f>
        <v>453.87649999999996</v>
      </c>
      <c r="H35" s="253" t="str">
        <f ca="1">H15</f>
        <v>2.6%~2.8%</v>
      </c>
      <c r="I35" s="249" t="str">
        <f ca="1">I15</f>
        <v>2.75%~2.81%</v>
      </c>
      <c r="K35" s="251" t="s">
        <v>477</v>
      </c>
      <c r="L35" s="252">
        <f>G42/2</f>
        <v>474.28525181482343</v>
      </c>
      <c r="M35" s="253"/>
      <c r="N35" s="249"/>
      <c r="P35" s="251" t="s">
        <v>484</v>
      </c>
      <c r="Q35" s="252">
        <f>계산!I34/계산!J34*80</f>
        <v>75.195103289977055</v>
      </c>
      <c r="R35" s="264"/>
      <c r="S35" s="249"/>
    </row>
    <row r="36" spans="6:19">
      <c r="F36" s="251" t="s">
        <v>463</v>
      </c>
      <c r="G36" s="252">
        <f>계산!I53</f>
        <v>522</v>
      </c>
      <c r="H36" s="253"/>
      <c r="I36" s="249"/>
      <c r="K36" s="251" t="s">
        <v>299</v>
      </c>
      <c r="L36" s="252">
        <f>계산!I51</f>
        <v>108.5</v>
      </c>
      <c r="M36" s="253"/>
      <c r="N36" s="249"/>
      <c r="P36" s="251" t="s">
        <v>485</v>
      </c>
      <c r="Q36" s="252">
        <f>계산!I50</f>
        <v>104.16000000000001</v>
      </c>
      <c r="R36" s="264"/>
      <c r="S36" s="249"/>
    </row>
    <row r="37" spans="6:19">
      <c r="F37" s="251" t="s">
        <v>464</v>
      </c>
      <c r="G37" s="252">
        <f>계산!I12</f>
        <v>322.54750000000001</v>
      </c>
      <c r="H37" s="253" t="str">
        <f ca="1">M34</f>
        <v>2.5%~2.6%</v>
      </c>
      <c r="I37" s="249" t="str">
        <f ca="1">I10</f>
        <v>2.75%~2.81%</v>
      </c>
      <c r="K37" s="251" t="s">
        <v>478</v>
      </c>
      <c r="L37" s="252">
        <f>계산!I52*80/100</f>
        <v>14.88</v>
      </c>
      <c r="M37" s="253"/>
      <c r="N37" s="249"/>
      <c r="P37" s="251" t="s">
        <v>300</v>
      </c>
      <c r="Q37" s="252">
        <f>계산!I52</f>
        <v>18.600000000000001</v>
      </c>
      <c r="R37" s="264"/>
      <c r="S37" s="249"/>
    </row>
    <row r="38" spans="6:19">
      <c r="F38" s="251" t="s">
        <v>465</v>
      </c>
      <c r="G38" s="252">
        <f>G37</f>
        <v>322.54750000000001</v>
      </c>
      <c r="H38" s="253" t="str">
        <f ca="1">H37</f>
        <v>2.5%~2.6%</v>
      </c>
      <c r="I38" s="249"/>
      <c r="K38" s="251" t="s">
        <v>479</v>
      </c>
      <c r="L38" s="252">
        <f>계산!I54</f>
        <v>646.5</v>
      </c>
      <c r="M38" s="253"/>
      <c r="N38" s="249"/>
      <c r="P38" s="251" t="s">
        <v>486</v>
      </c>
      <c r="Q38" s="252">
        <f>계산!I54</f>
        <v>646.5</v>
      </c>
      <c r="R38" s="264"/>
      <c r="S38" s="249"/>
    </row>
    <row r="39" spans="6:19">
      <c r="F39" s="251" t="s">
        <v>466</v>
      </c>
      <c r="G39" s="252">
        <f>계산!I50</f>
        <v>104.16000000000001</v>
      </c>
      <c r="H39" s="253"/>
      <c r="I39" s="249"/>
      <c r="K39" s="251" t="s">
        <v>290</v>
      </c>
      <c r="L39" s="252">
        <f>계산!I56</f>
        <v>186</v>
      </c>
      <c r="M39" s="253"/>
      <c r="N39" s="249"/>
      <c r="P39" s="251" t="s">
        <v>487</v>
      </c>
      <c r="Q39" s="252">
        <f>L39</f>
        <v>186</v>
      </c>
      <c r="R39" s="264"/>
      <c r="S39" s="249"/>
    </row>
    <row r="40" spans="6:19">
      <c r="F40" s="251" t="s">
        <v>467</v>
      </c>
      <c r="G40" s="252">
        <f>IF(탐구계산sheet!Q10+탐구계산sheet!Q11+탐구계산sheet!Q14+탐구계산sheet!Q15&gt;0,계산!I40,0)</f>
        <v>660.5604757933163</v>
      </c>
      <c r="H40" s="253"/>
      <c r="I40" s="249"/>
      <c r="K40" s="251" t="s">
        <v>480</v>
      </c>
      <c r="L40" s="252">
        <f>계산!I43</f>
        <v>102.30000000000001</v>
      </c>
      <c r="M40" s="253"/>
      <c r="N40" s="249"/>
      <c r="P40" s="251" t="s">
        <v>302</v>
      </c>
      <c r="Q40" s="252">
        <f>계산!I55</f>
        <v>565.65893978144618</v>
      </c>
      <c r="R40" s="264"/>
      <c r="S40" s="249"/>
    </row>
    <row r="41" spans="6:19">
      <c r="F41" s="251" t="s">
        <v>468</v>
      </c>
      <c r="G41" s="252">
        <f>계산!I47</f>
        <v>519</v>
      </c>
      <c r="H41" s="253"/>
      <c r="I41" s="249"/>
      <c r="K41" s="251" t="s">
        <v>481</v>
      </c>
      <c r="L41" s="252">
        <f>계산!I48</f>
        <v>205.065</v>
      </c>
      <c r="M41" s="253"/>
      <c r="N41" s="249"/>
      <c r="P41" s="251" t="s">
        <v>291</v>
      </c>
      <c r="Q41" s="252">
        <f>L40*2</f>
        <v>204.60000000000002</v>
      </c>
      <c r="R41" s="264"/>
      <c r="S41" s="249"/>
    </row>
    <row r="42" spans="6:19">
      <c r="F42" s="251" t="s">
        <v>469</v>
      </c>
      <c r="G42" s="252">
        <f>계산!I45</f>
        <v>948.57050362964685</v>
      </c>
      <c r="H42" s="253"/>
      <c r="I42" s="249"/>
      <c r="K42" s="251" t="s">
        <v>211</v>
      </c>
      <c r="L42" s="252">
        <f>계산!I42</f>
        <v>519</v>
      </c>
      <c r="M42" s="253"/>
      <c r="N42" s="249"/>
      <c r="P42" s="251" t="s">
        <v>488</v>
      </c>
      <c r="Q42" s="252">
        <f>G41</f>
        <v>519</v>
      </c>
      <c r="R42" s="264"/>
      <c r="S42" s="249"/>
    </row>
    <row r="43" spans="6:19">
      <c r="F43" s="251" t="s">
        <v>470</v>
      </c>
      <c r="G43" s="252" t="s">
        <v>296</v>
      </c>
      <c r="H43" s="253"/>
      <c r="I43" s="249"/>
      <c r="K43" s="251" t="s">
        <v>482</v>
      </c>
      <c r="L43" s="252">
        <f>계산!I58*0.4</f>
        <v>104.16</v>
      </c>
      <c r="M43" s="253"/>
      <c r="N43" s="249"/>
      <c r="P43" s="251" t="s">
        <v>489</v>
      </c>
      <c r="Q43" s="252">
        <f>계산!I58</f>
        <v>260.39999999999998</v>
      </c>
      <c r="R43" s="264"/>
      <c r="S43" s="249"/>
    </row>
    <row r="44" spans="6:19">
      <c r="F44" s="251" t="s">
        <v>471</v>
      </c>
      <c r="G44" s="252">
        <f>계산!I19</f>
        <v>656.51131458512555</v>
      </c>
      <c r="H44" s="253" t="str">
        <f ca="1">M46</f>
        <v>2.8%~3%</v>
      </c>
      <c r="I44" s="249"/>
      <c r="K44" s="251" t="s">
        <v>146</v>
      </c>
      <c r="L44" s="252">
        <f>G47*1000/700</f>
        <v>943.72570506950706</v>
      </c>
      <c r="M44" s="253" t="str">
        <f ca="1">H47</f>
        <v>2.5%~2.6%</v>
      </c>
      <c r="N44" s="249" t="str">
        <f ca="1">I47</f>
        <v>2.75%~2.81%</v>
      </c>
      <c r="P44" s="251" t="s">
        <v>490</v>
      </c>
      <c r="Q44" s="252">
        <f>L45</f>
        <v>938.62632243576115</v>
      </c>
      <c r="R44" s="264"/>
      <c r="S44" s="249"/>
    </row>
    <row r="45" spans="6:19">
      <c r="F45" s="251" t="s">
        <v>472</v>
      </c>
      <c r="G45" s="252">
        <f>400+계산!I56</f>
        <v>586</v>
      </c>
      <c r="H45" s="253"/>
      <c r="I45" s="249"/>
      <c r="K45" s="251" t="s">
        <v>483</v>
      </c>
      <c r="L45" s="252">
        <f>계산!I41</f>
        <v>938.62632243576115</v>
      </c>
      <c r="M45" s="253"/>
      <c r="N45" s="249"/>
      <c r="O45" s="263"/>
      <c r="P45" s="265"/>
    </row>
    <row r="46" spans="6:19">
      <c r="F46" s="251" t="s">
        <v>473</v>
      </c>
      <c r="G46" s="252">
        <f>계산!I42</f>
        <v>519</v>
      </c>
      <c r="H46" s="253"/>
      <c r="I46" s="249"/>
      <c r="K46" s="251" t="s">
        <v>22</v>
      </c>
      <c r="L46" s="252">
        <f>G44/0.7</f>
        <v>937.87330655017945</v>
      </c>
      <c r="M46" s="253" t="str">
        <f ca="1">H16</f>
        <v>2.8%~3%</v>
      </c>
      <c r="N46" s="249" t="str">
        <f ca="1">N12</f>
        <v>3.18%~3.24%</v>
      </c>
      <c r="O46" s="263"/>
      <c r="P46" s="265"/>
    </row>
    <row r="47" spans="6:19">
      <c r="F47" s="251" t="s">
        <v>474</v>
      </c>
      <c r="G47" s="252">
        <f>계산!I20</f>
        <v>660.60799354865492</v>
      </c>
      <c r="H47" s="253" t="str">
        <f ca="1">M16</f>
        <v>2.5%~2.6%</v>
      </c>
      <c r="I47" s="249" t="str">
        <f ca="1">I17</f>
        <v>2.75%~2.81%</v>
      </c>
      <c r="K47" s="251" t="s">
        <v>302</v>
      </c>
      <c r="L47" s="252">
        <f>Q40</f>
        <v>565.65893978144618</v>
      </c>
      <c r="M47" s="264"/>
      <c r="N47" s="249"/>
    </row>
    <row r="48" spans="6:19">
      <c r="F48" s="251" t="s">
        <v>475</v>
      </c>
      <c r="G48" s="252">
        <f>계산!I49</f>
        <v>437.2</v>
      </c>
      <c r="H48" s="253"/>
      <c r="I48" s="249"/>
    </row>
    <row r="50" spans="6:19">
      <c r="K50" s="251" t="s">
        <v>499</v>
      </c>
      <c r="L50" s="252">
        <f>L17</f>
        <v>452.13</v>
      </c>
      <c r="M50" s="253" t="str">
        <f ca="1">M17</f>
        <v>2.4%~2.5%</v>
      </c>
      <c r="N50" s="249"/>
    </row>
    <row r="52" spans="6:19" ht="13.5" customHeight="1">
      <c r="G52" s="284" t="s">
        <v>550</v>
      </c>
      <c r="H52" s="285"/>
      <c r="I52" s="285"/>
      <c r="J52" s="285"/>
      <c r="K52" s="285"/>
      <c r="L52" s="285"/>
      <c r="M52" s="285"/>
      <c r="N52" s="285"/>
      <c r="O52" s="285"/>
      <c r="P52" s="285"/>
      <c r="Q52" s="286"/>
      <c r="R52" s="242"/>
    </row>
    <row r="53" spans="6:19" ht="19.5">
      <c r="G53" s="287"/>
      <c r="H53" s="288"/>
      <c r="I53" s="288"/>
      <c r="J53" s="288"/>
      <c r="K53" s="288"/>
      <c r="L53" s="288"/>
      <c r="M53" s="288"/>
      <c r="N53" s="288"/>
      <c r="O53" s="288"/>
      <c r="P53" s="288"/>
      <c r="Q53" s="289"/>
      <c r="R53" s="243"/>
    </row>
    <row r="55" spans="6:19">
      <c r="F55" s="297" t="s">
        <v>355</v>
      </c>
      <c r="G55" s="298"/>
      <c r="H55" s="247" t="s">
        <v>497</v>
      </c>
      <c r="I55" s="248" t="s">
        <v>439</v>
      </c>
      <c r="K55" s="297" t="s">
        <v>297</v>
      </c>
      <c r="L55" s="298"/>
      <c r="M55" s="247" t="s">
        <v>406</v>
      </c>
      <c r="N55" s="248" t="s">
        <v>354</v>
      </c>
      <c r="P55" s="297" t="s">
        <v>298</v>
      </c>
      <c r="Q55" s="298"/>
      <c r="R55" s="247" t="s">
        <v>406</v>
      </c>
      <c r="S55" s="248" t="s">
        <v>354</v>
      </c>
    </row>
    <row r="56" spans="6:19">
      <c r="F56" s="251" t="s">
        <v>7</v>
      </c>
      <c r="G56" s="252">
        <f>G37</f>
        <v>322.54750000000001</v>
      </c>
      <c r="H56" s="264" t="str">
        <f ca="1">H37</f>
        <v>2.5%~2.6%</v>
      </c>
      <c r="I56" s="249" t="str">
        <f ca="1">I37</f>
        <v>2.75%~2.81%</v>
      </c>
      <c r="K56" s="251" t="s">
        <v>494</v>
      </c>
      <c r="L56" s="252">
        <f>Q33</f>
        <v>853.41632643571268</v>
      </c>
      <c r="M56" s="253"/>
      <c r="N56" s="249"/>
      <c r="P56" s="251" t="s">
        <v>492</v>
      </c>
      <c r="Q56" s="252">
        <f>계산!I59</f>
        <v>162.75</v>
      </c>
      <c r="R56" s="253"/>
      <c r="S56" s="249"/>
    </row>
    <row r="57" spans="6:19">
      <c r="F57" s="251" t="s">
        <v>491</v>
      </c>
      <c r="G57" s="252">
        <f>G41</f>
        <v>519</v>
      </c>
      <c r="H57" s="253"/>
      <c r="I57" s="249"/>
      <c r="K57" s="251" t="s">
        <v>495</v>
      </c>
      <c r="L57" s="252">
        <f>계산!I45/2</f>
        <v>474.28525181482343</v>
      </c>
      <c r="M57" s="253"/>
      <c r="N57" s="249"/>
      <c r="P57" s="251" t="s">
        <v>493</v>
      </c>
      <c r="Q57" s="252">
        <f>계산!I44</f>
        <v>853.41632643571268</v>
      </c>
      <c r="R57" s="253"/>
      <c r="S57" s="249"/>
    </row>
    <row r="58" spans="6:19">
      <c r="F58" s="251" t="s">
        <v>229</v>
      </c>
      <c r="G58" s="252">
        <f>계산!I45</f>
        <v>948.57050362964685</v>
      </c>
      <c r="H58" s="253"/>
      <c r="I58" s="249"/>
      <c r="P58" s="251" t="s">
        <v>246</v>
      </c>
      <c r="Q58" s="252">
        <f>계산!I47</f>
        <v>519</v>
      </c>
      <c r="R58" s="253"/>
      <c r="S58" s="249"/>
    </row>
  </sheetData>
  <sheetProtection selectLockedCells="1"/>
  <mergeCells count="17">
    <mergeCell ref="F55:G55"/>
    <mergeCell ref="K55:L55"/>
    <mergeCell ref="P55:Q55"/>
    <mergeCell ref="P9:Q9"/>
    <mergeCell ref="G29:Q30"/>
    <mergeCell ref="G52:Q53"/>
    <mergeCell ref="P19:S27"/>
    <mergeCell ref="G2:Q3"/>
    <mergeCell ref="B15:D16"/>
    <mergeCell ref="A14:D14"/>
    <mergeCell ref="F32:G32"/>
    <mergeCell ref="F9:G9"/>
    <mergeCell ref="F7:S7"/>
    <mergeCell ref="P32:Q32"/>
    <mergeCell ref="K32:L32"/>
    <mergeCell ref="K9:L9"/>
    <mergeCell ref="B24:D25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4" r:id="rId3" name="Drop Down 4">
              <controlPr defaultSize="0" autoLine="0" autoPict="0">
                <anchor moveWithCells="1">
                  <from>
                    <xdr:col>1</xdr:col>
                    <xdr:colOff>0</xdr:colOff>
                    <xdr:row>20</xdr:row>
                    <xdr:rowOff>19050</xdr:rowOff>
                  </from>
                  <to>
                    <xdr:col>1</xdr:col>
                    <xdr:colOff>676275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4" name="Drop Down 5">
              <controlPr defaultSize="0" autoLine="0" autoPict="0">
                <anchor moveWithCells="1">
                  <from>
                    <xdr:col>1</xdr:col>
                    <xdr:colOff>0</xdr:colOff>
                    <xdr:row>21</xdr:row>
                    <xdr:rowOff>19050</xdr:rowOff>
                  </from>
                  <to>
                    <xdr:col>1</xdr:col>
                    <xdr:colOff>676275</xdr:colOff>
                    <xdr:row>22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O100"/>
  <sheetViews>
    <sheetView workbookViewId="0">
      <selection activeCell="K1" sqref="K1:O100"/>
    </sheetView>
  </sheetViews>
  <sheetFormatPr defaultRowHeight="16.5"/>
  <sheetData>
    <row r="1" spans="1:15">
      <c r="A1" s="14" t="s">
        <v>10</v>
      </c>
      <c r="B1" s="13" t="s">
        <v>4</v>
      </c>
      <c r="C1" s="13" t="s">
        <v>2</v>
      </c>
      <c r="D1" s="13" t="s">
        <v>13</v>
      </c>
      <c r="E1" s="13" t="s">
        <v>14</v>
      </c>
      <c r="F1" s="24" t="s">
        <v>11</v>
      </c>
      <c r="G1" s="23" t="s">
        <v>4</v>
      </c>
      <c r="H1" s="22" t="s">
        <v>2</v>
      </c>
      <c r="I1" s="22" t="s">
        <v>13</v>
      </c>
      <c r="J1" s="22" t="s">
        <v>14</v>
      </c>
      <c r="K1" s="35" t="s">
        <v>9</v>
      </c>
      <c r="L1" s="32" t="s">
        <v>4</v>
      </c>
      <c r="M1" s="33" t="s">
        <v>2</v>
      </c>
      <c r="N1" s="33" t="s">
        <v>13</v>
      </c>
      <c r="O1" s="34" t="s">
        <v>14</v>
      </c>
    </row>
    <row r="2" spans="1:15">
      <c r="A2" s="7">
        <v>100</v>
      </c>
      <c r="B2" s="8">
        <v>133</v>
      </c>
      <c r="C2" s="9">
        <v>99</v>
      </c>
      <c r="D2" s="10">
        <v>1</v>
      </c>
      <c r="E2" s="11">
        <v>1.3</v>
      </c>
      <c r="F2" s="16">
        <v>100</v>
      </c>
      <c r="G2" s="17">
        <v>140</v>
      </c>
      <c r="H2" s="18">
        <v>100</v>
      </c>
      <c r="I2" s="19">
        <v>1</v>
      </c>
      <c r="J2" s="20">
        <v>0.7</v>
      </c>
      <c r="K2" s="26">
        <v>100</v>
      </c>
      <c r="L2" s="27">
        <v>136</v>
      </c>
      <c r="M2" s="28">
        <v>100</v>
      </c>
      <c r="N2" s="29">
        <v>1</v>
      </c>
      <c r="O2" s="30">
        <v>0.3</v>
      </c>
    </row>
    <row r="3" spans="1:15">
      <c r="A3" s="7">
        <v>98</v>
      </c>
      <c r="B3" s="8">
        <v>131</v>
      </c>
      <c r="C3" s="9">
        <v>98</v>
      </c>
      <c r="D3" s="7">
        <v>1</v>
      </c>
      <c r="E3" s="12">
        <v>2.37</v>
      </c>
      <c r="F3" s="16">
        <v>98</v>
      </c>
      <c r="G3" s="17">
        <v>138</v>
      </c>
      <c r="H3" s="18">
        <v>99</v>
      </c>
      <c r="I3" s="16">
        <v>1</v>
      </c>
      <c r="J3" s="21">
        <v>1.24</v>
      </c>
      <c r="K3" s="26">
        <v>98</v>
      </c>
      <c r="L3" s="27">
        <v>134</v>
      </c>
      <c r="M3" s="28">
        <v>99</v>
      </c>
      <c r="N3" s="26">
        <v>1</v>
      </c>
      <c r="O3" s="31">
        <v>1</v>
      </c>
    </row>
    <row r="4" spans="1:15">
      <c r="A4" s="7">
        <v>97</v>
      </c>
      <c r="B4" s="8">
        <v>130</v>
      </c>
      <c r="C4" s="9">
        <v>97</v>
      </c>
      <c r="D4" s="7">
        <v>1</v>
      </c>
      <c r="E4" s="12">
        <v>3.4400000000000004</v>
      </c>
      <c r="F4" s="16">
        <v>97</v>
      </c>
      <c r="G4" s="17">
        <v>138</v>
      </c>
      <c r="H4" s="18">
        <v>98</v>
      </c>
      <c r="I4" s="16">
        <v>1</v>
      </c>
      <c r="J4" s="21">
        <v>1.78</v>
      </c>
      <c r="K4" s="26">
        <v>97</v>
      </c>
      <c r="L4" s="27">
        <v>133</v>
      </c>
      <c r="M4" s="28">
        <v>99</v>
      </c>
      <c r="N4" s="26">
        <v>1</v>
      </c>
      <c r="O4" s="31">
        <v>1.7</v>
      </c>
    </row>
    <row r="5" spans="1:15">
      <c r="A5" s="7">
        <v>96</v>
      </c>
      <c r="B5" s="8">
        <v>129</v>
      </c>
      <c r="C5" s="9">
        <v>96</v>
      </c>
      <c r="D5" s="7">
        <v>1</v>
      </c>
      <c r="E5" s="12">
        <v>4.5100000000000007</v>
      </c>
      <c r="F5" s="16">
        <v>96</v>
      </c>
      <c r="G5" s="17">
        <v>137</v>
      </c>
      <c r="H5" s="18">
        <v>98</v>
      </c>
      <c r="I5" s="16">
        <v>1</v>
      </c>
      <c r="J5" s="21">
        <v>2.3200000000000003</v>
      </c>
      <c r="K5" s="26">
        <v>96</v>
      </c>
      <c r="L5" s="27">
        <v>132</v>
      </c>
      <c r="M5" s="28">
        <v>98</v>
      </c>
      <c r="N5" s="26">
        <v>1</v>
      </c>
      <c r="O5" s="31">
        <v>2.4</v>
      </c>
    </row>
    <row r="6" spans="1:15">
      <c r="A6" s="7">
        <v>95</v>
      </c>
      <c r="B6" s="8">
        <v>128</v>
      </c>
      <c r="C6" s="9">
        <v>95</v>
      </c>
      <c r="D6" s="7">
        <v>2</v>
      </c>
      <c r="E6" s="12">
        <v>5.91</v>
      </c>
      <c r="F6" s="16">
        <v>95</v>
      </c>
      <c r="G6" s="17">
        <v>136</v>
      </c>
      <c r="H6" s="18">
        <v>97</v>
      </c>
      <c r="I6" s="16">
        <v>1</v>
      </c>
      <c r="J6" s="21">
        <v>2.8600000000000003</v>
      </c>
      <c r="K6" s="26">
        <v>95</v>
      </c>
      <c r="L6" s="27">
        <v>131</v>
      </c>
      <c r="M6" s="28">
        <v>97</v>
      </c>
      <c r="N6" s="26">
        <v>1</v>
      </c>
      <c r="O6" s="31">
        <v>3.0999999999999996</v>
      </c>
    </row>
    <row r="7" spans="1:15">
      <c r="A7" s="7">
        <v>94</v>
      </c>
      <c r="B7" s="8">
        <v>127</v>
      </c>
      <c r="C7" s="9">
        <v>93</v>
      </c>
      <c r="D7" s="7">
        <v>2</v>
      </c>
      <c r="E7" s="12">
        <v>7.3100000000000005</v>
      </c>
      <c r="F7" s="16">
        <v>94</v>
      </c>
      <c r="G7" s="17">
        <v>135</v>
      </c>
      <c r="H7" s="18">
        <v>97</v>
      </c>
      <c r="I7" s="16">
        <v>1</v>
      </c>
      <c r="J7" s="21">
        <v>3.4000000000000004</v>
      </c>
      <c r="K7" s="26">
        <v>94</v>
      </c>
      <c r="L7" s="27">
        <v>130</v>
      </c>
      <c r="M7" s="28">
        <v>97</v>
      </c>
      <c r="N7" s="26">
        <v>1</v>
      </c>
      <c r="O7" s="31">
        <v>3.8</v>
      </c>
    </row>
    <row r="8" spans="1:15">
      <c r="A8" s="7">
        <v>93</v>
      </c>
      <c r="B8" s="8">
        <v>126</v>
      </c>
      <c r="C8" s="9">
        <v>92</v>
      </c>
      <c r="D8" s="7">
        <v>2</v>
      </c>
      <c r="E8" s="12">
        <v>8.7100000000000009</v>
      </c>
      <c r="F8" s="16">
        <v>93</v>
      </c>
      <c r="G8" s="17">
        <v>134</v>
      </c>
      <c r="H8" s="18">
        <v>96</v>
      </c>
      <c r="I8" s="16">
        <v>1</v>
      </c>
      <c r="J8" s="21">
        <v>3.9400000000000004</v>
      </c>
      <c r="K8" s="26">
        <v>93</v>
      </c>
      <c r="L8" s="27">
        <v>129</v>
      </c>
      <c r="M8" s="28">
        <v>96</v>
      </c>
      <c r="N8" s="26">
        <v>1</v>
      </c>
      <c r="O8" s="31">
        <v>4.5</v>
      </c>
    </row>
    <row r="9" spans="1:15">
      <c r="A9" s="7">
        <v>92</v>
      </c>
      <c r="B9" s="8">
        <v>125</v>
      </c>
      <c r="C9" s="9">
        <v>91</v>
      </c>
      <c r="D9" s="7">
        <v>2</v>
      </c>
      <c r="E9" s="12">
        <v>10.110000000000001</v>
      </c>
      <c r="F9" s="16">
        <v>92</v>
      </c>
      <c r="G9" s="17">
        <v>133</v>
      </c>
      <c r="H9" s="18">
        <v>96</v>
      </c>
      <c r="I9" s="16">
        <v>1</v>
      </c>
      <c r="J9" s="21">
        <v>4.4800000000000004</v>
      </c>
      <c r="K9" s="26">
        <v>92</v>
      </c>
      <c r="L9" s="27">
        <v>128</v>
      </c>
      <c r="M9" s="28">
        <v>95</v>
      </c>
      <c r="N9" s="26">
        <v>2</v>
      </c>
      <c r="O9" s="31">
        <v>5.67</v>
      </c>
    </row>
    <row r="10" spans="1:15">
      <c r="A10" s="7">
        <v>91</v>
      </c>
      <c r="B10" s="8">
        <v>124</v>
      </c>
      <c r="C10" s="9">
        <v>89</v>
      </c>
      <c r="D10" s="7">
        <v>2</v>
      </c>
      <c r="E10" s="12">
        <v>11.510000000000002</v>
      </c>
      <c r="F10" s="16">
        <v>91</v>
      </c>
      <c r="G10" s="17">
        <v>133</v>
      </c>
      <c r="H10" s="18">
        <v>95</v>
      </c>
      <c r="I10" s="16">
        <v>2</v>
      </c>
      <c r="J10" s="21">
        <v>5.36</v>
      </c>
      <c r="K10" s="26">
        <v>91</v>
      </c>
      <c r="L10" s="27">
        <v>128</v>
      </c>
      <c r="M10" s="28">
        <v>94</v>
      </c>
      <c r="N10" s="26">
        <v>2</v>
      </c>
      <c r="O10" s="31">
        <v>6.84</v>
      </c>
    </row>
    <row r="11" spans="1:15">
      <c r="A11" s="7">
        <v>90</v>
      </c>
      <c r="B11" s="8">
        <v>123</v>
      </c>
      <c r="C11" s="9">
        <v>88</v>
      </c>
      <c r="D11" s="7">
        <v>3</v>
      </c>
      <c r="E11" s="12">
        <v>13.010000000000002</v>
      </c>
      <c r="F11" s="16">
        <v>90</v>
      </c>
      <c r="G11" s="17">
        <v>132</v>
      </c>
      <c r="H11" s="18">
        <v>94</v>
      </c>
      <c r="I11" s="16">
        <v>2</v>
      </c>
      <c r="J11" s="21">
        <v>6.24</v>
      </c>
      <c r="K11" s="26">
        <v>90</v>
      </c>
      <c r="L11" s="27">
        <v>127</v>
      </c>
      <c r="M11" s="28">
        <v>93</v>
      </c>
      <c r="N11" s="26">
        <v>2</v>
      </c>
      <c r="O11" s="31">
        <v>8.01</v>
      </c>
    </row>
    <row r="12" spans="1:15">
      <c r="A12" s="7">
        <v>89</v>
      </c>
      <c r="B12" s="8">
        <v>122</v>
      </c>
      <c r="C12" s="9">
        <v>86</v>
      </c>
      <c r="D12" s="7">
        <v>3</v>
      </c>
      <c r="E12" s="12">
        <v>14.510000000000002</v>
      </c>
      <c r="F12" s="16">
        <v>89</v>
      </c>
      <c r="G12" s="17">
        <v>131</v>
      </c>
      <c r="H12" s="18">
        <v>93</v>
      </c>
      <c r="I12" s="16">
        <v>2</v>
      </c>
      <c r="J12" s="21">
        <v>7.12</v>
      </c>
      <c r="K12" s="26">
        <v>89</v>
      </c>
      <c r="L12" s="27">
        <v>126</v>
      </c>
      <c r="M12" s="28">
        <v>91</v>
      </c>
      <c r="N12" s="26">
        <v>2</v>
      </c>
      <c r="O12" s="31">
        <v>9.18</v>
      </c>
    </row>
    <row r="13" spans="1:15">
      <c r="A13" s="7">
        <v>88</v>
      </c>
      <c r="B13" s="8">
        <v>121</v>
      </c>
      <c r="C13" s="9">
        <v>85</v>
      </c>
      <c r="D13" s="7">
        <v>3</v>
      </c>
      <c r="E13" s="12">
        <v>16.010000000000002</v>
      </c>
      <c r="F13" s="16">
        <v>88</v>
      </c>
      <c r="G13" s="17">
        <v>130</v>
      </c>
      <c r="H13" s="18">
        <v>92</v>
      </c>
      <c r="I13" s="16">
        <v>2</v>
      </c>
      <c r="J13" s="21">
        <v>8</v>
      </c>
      <c r="K13" s="26">
        <v>88</v>
      </c>
      <c r="L13" s="27">
        <v>125</v>
      </c>
      <c r="M13" s="28">
        <v>90</v>
      </c>
      <c r="N13" s="26">
        <v>2</v>
      </c>
      <c r="O13" s="31">
        <v>10.35</v>
      </c>
    </row>
    <row r="14" spans="1:15">
      <c r="A14" s="7">
        <v>87</v>
      </c>
      <c r="B14" s="8">
        <v>120</v>
      </c>
      <c r="C14" s="9">
        <v>83</v>
      </c>
      <c r="D14" s="7">
        <v>3</v>
      </c>
      <c r="E14" s="12">
        <v>17.510000000000002</v>
      </c>
      <c r="F14" s="16">
        <v>87</v>
      </c>
      <c r="G14" s="17">
        <v>129</v>
      </c>
      <c r="H14" s="18">
        <v>92</v>
      </c>
      <c r="I14" s="16">
        <v>2</v>
      </c>
      <c r="J14" s="21">
        <v>8.8800000000000008</v>
      </c>
      <c r="K14" s="26">
        <v>87</v>
      </c>
      <c r="L14" s="27">
        <v>124</v>
      </c>
      <c r="M14" s="28">
        <v>89</v>
      </c>
      <c r="N14" s="26">
        <v>2</v>
      </c>
      <c r="O14" s="31">
        <v>11.52</v>
      </c>
    </row>
    <row r="15" spans="1:15">
      <c r="A15" s="7">
        <v>86</v>
      </c>
      <c r="B15" s="8">
        <v>119</v>
      </c>
      <c r="C15" s="9">
        <v>82</v>
      </c>
      <c r="D15" s="7">
        <v>3</v>
      </c>
      <c r="E15" s="12">
        <v>19.010000000000002</v>
      </c>
      <c r="F15" s="16">
        <v>86</v>
      </c>
      <c r="G15" s="17">
        <v>128</v>
      </c>
      <c r="H15" s="18">
        <v>91</v>
      </c>
      <c r="I15" s="16">
        <v>2</v>
      </c>
      <c r="J15" s="21">
        <v>9.7600000000000016</v>
      </c>
      <c r="K15" s="26">
        <v>86</v>
      </c>
      <c r="L15" s="27">
        <v>123</v>
      </c>
      <c r="M15" s="28">
        <v>88</v>
      </c>
      <c r="N15" s="26">
        <v>3</v>
      </c>
      <c r="O15" s="31">
        <v>13.23</v>
      </c>
    </row>
    <row r="16" spans="1:15">
      <c r="A16" s="7">
        <v>85</v>
      </c>
      <c r="B16" s="8">
        <v>118</v>
      </c>
      <c r="C16" s="9">
        <v>80</v>
      </c>
      <c r="D16" s="7">
        <v>3</v>
      </c>
      <c r="E16" s="12">
        <v>20.51</v>
      </c>
      <c r="F16" s="16">
        <v>85</v>
      </c>
      <c r="G16" s="17">
        <v>128</v>
      </c>
      <c r="H16" s="18">
        <v>90</v>
      </c>
      <c r="I16" s="16">
        <v>2</v>
      </c>
      <c r="J16" s="21">
        <v>10.640000000000002</v>
      </c>
      <c r="K16" s="26">
        <v>85</v>
      </c>
      <c r="L16" s="27">
        <v>122</v>
      </c>
      <c r="M16" s="28">
        <v>86</v>
      </c>
      <c r="N16" s="26">
        <v>3</v>
      </c>
      <c r="O16" s="31">
        <v>14.940000000000001</v>
      </c>
    </row>
    <row r="17" spans="1:15">
      <c r="A17" s="7">
        <v>84</v>
      </c>
      <c r="B17" s="8">
        <v>117</v>
      </c>
      <c r="C17" s="9">
        <v>79</v>
      </c>
      <c r="D17" s="7">
        <v>3</v>
      </c>
      <c r="E17" s="12">
        <v>22.01</v>
      </c>
      <c r="F17" s="16">
        <v>84</v>
      </c>
      <c r="G17" s="17">
        <v>127</v>
      </c>
      <c r="H17" s="18">
        <v>89</v>
      </c>
      <c r="I17" s="16">
        <v>2</v>
      </c>
      <c r="J17" s="21">
        <v>11.520000000000003</v>
      </c>
      <c r="K17" s="26">
        <v>84</v>
      </c>
      <c r="L17" s="27">
        <v>121</v>
      </c>
      <c r="M17" s="28">
        <v>84</v>
      </c>
      <c r="N17" s="26">
        <v>3</v>
      </c>
      <c r="O17" s="31">
        <v>16.650000000000002</v>
      </c>
    </row>
    <row r="18" spans="1:15">
      <c r="A18" s="7">
        <v>83</v>
      </c>
      <c r="B18" s="8">
        <v>115</v>
      </c>
      <c r="C18" s="9">
        <v>77</v>
      </c>
      <c r="D18" s="7">
        <v>3</v>
      </c>
      <c r="E18" s="12">
        <v>23.51</v>
      </c>
      <c r="F18" s="16">
        <v>83</v>
      </c>
      <c r="G18" s="17">
        <v>126</v>
      </c>
      <c r="H18" s="18">
        <v>88</v>
      </c>
      <c r="I18" s="16">
        <v>3</v>
      </c>
      <c r="J18" s="21">
        <v>12.610000000000003</v>
      </c>
      <c r="K18" s="26">
        <v>83</v>
      </c>
      <c r="L18" s="27">
        <v>120</v>
      </c>
      <c r="M18" s="28">
        <v>82</v>
      </c>
      <c r="N18" s="26">
        <v>3</v>
      </c>
      <c r="O18" s="31">
        <v>18.360000000000003</v>
      </c>
    </row>
    <row r="19" spans="1:15">
      <c r="A19" s="7">
        <v>82</v>
      </c>
      <c r="B19" s="8">
        <v>114</v>
      </c>
      <c r="C19" s="9">
        <v>75</v>
      </c>
      <c r="D19" s="7">
        <v>4</v>
      </c>
      <c r="E19" s="12">
        <v>25.64</v>
      </c>
      <c r="F19" s="16">
        <v>82</v>
      </c>
      <c r="G19" s="17">
        <v>125</v>
      </c>
      <c r="H19" s="18">
        <v>87</v>
      </c>
      <c r="I19" s="16">
        <v>3</v>
      </c>
      <c r="J19" s="21">
        <v>13.700000000000003</v>
      </c>
      <c r="K19" s="26">
        <v>82</v>
      </c>
      <c r="L19" s="27">
        <v>119</v>
      </c>
      <c r="M19" s="28">
        <v>81</v>
      </c>
      <c r="N19" s="26">
        <v>3</v>
      </c>
      <c r="O19" s="31">
        <v>20.070000000000004</v>
      </c>
    </row>
    <row r="20" spans="1:15">
      <c r="A20" s="7">
        <v>81</v>
      </c>
      <c r="B20" s="8">
        <v>113</v>
      </c>
      <c r="C20" s="9">
        <v>73</v>
      </c>
      <c r="D20" s="7">
        <v>4</v>
      </c>
      <c r="E20" s="12">
        <v>27.77</v>
      </c>
      <c r="F20" s="16">
        <v>81</v>
      </c>
      <c r="G20" s="17">
        <v>124</v>
      </c>
      <c r="H20" s="18">
        <v>86</v>
      </c>
      <c r="I20" s="16">
        <v>3</v>
      </c>
      <c r="J20" s="21">
        <v>14.790000000000003</v>
      </c>
      <c r="K20" s="26">
        <v>81</v>
      </c>
      <c r="L20" s="27">
        <v>119</v>
      </c>
      <c r="M20" s="28">
        <v>79</v>
      </c>
      <c r="N20" s="26">
        <v>3</v>
      </c>
      <c r="O20" s="31">
        <v>21.780000000000005</v>
      </c>
    </row>
    <row r="21" spans="1:15">
      <c r="A21" s="7">
        <v>80</v>
      </c>
      <c r="B21" s="8">
        <v>112</v>
      </c>
      <c r="C21" s="9">
        <v>71</v>
      </c>
      <c r="D21" s="7">
        <v>4</v>
      </c>
      <c r="E21" s="12">
        <v>29.9</v>
      </c>
      <c r="F21" s="16">
        <v>80</v>
      </c>
      <c r="G21" s="17">
        <v>123</v>
      </c>
      <c r="H21" s="18">
        <v>85</v>
      </c>
      <c r="I21" s="16">
        <v>3</v>
      </c>
      <c r="J21" s="21">
        <v>15.880000000000003</v>
      </c>
      <c r="K21" s="26">
        <v>80</v>
      </c>
      <c r="L21" s="27">
        <v>118</v>
      </c>
      <c r="M21" s="28">
        <v>77</v>
      </c>
      <c r="N21" s="26">
        <v>3</v>
      </c>
      <c r="O21" s="31">
        <v>23.490000000000006</v>
      </c>
    </row>
    <row r="22" spans="1:15">
      <c r="A22" s="7">
        <v>79</v>
      </c>
      <c r="B22" s="8">
        <v>111</v>
      </c>
      <c r="C22" s="9">
        <v>69</v>
      </c>
      <c r="D22" s="7">
        <v>4</v>
      </c>
      <c r="E22" s="12">
        <v>32.03</v>
      </c>
      <c r="F22" s="16">
        <v>79</v>
      </c>
      <c r="G22" s="17">
        <v>123</v>
      </c>
      <c r="H22" s="18">
        <v>84</v>
      </c>
      <c r="I22" s="16">
        <v>3</v>
      </c>
      <c r="J22" s="21">
        <v>16.970000000000002</v>
      </c>
      <c r="K22" s="26">
        <v>79</v>
      </c>
      <c r="L22" s="27">
        <v>117</v>
      </c>
      <c r="M22" s="28">
        <v>76</v>
      </c>
      <c r="N22" s="26">
        <v>4</v>
      </c>
      <c r="O22" s="31">
        <v>25.190000000000005</v>
      </c>
    </row>
    <row r="23" spans="1:15">
      <c r="A23" s="7">
        <v>78</v>
      </c>
      <c r="B23" s="8">
        <v>110</v>
      </c>
      <c r="C23" s="9">
        <v>67</v>
      </c>
      <c r="D23" s="7">
        <v>4</v>
      </c>
      <c r="E23" s="12">
        <v>34.160000000000004</v>
      </c>
      <c r="F23" s="16">
        <v>78</v>
      </c>
      <c r="G23" s="17">
        <v>122</v>
      </c>
      <c r="H23" s="18">
        <v>82</v>
      </c>
      <c r="I23" s="16">
        <v>3</v>
      </c>
      <c r="J23" s="21">
        <v>18.060000000000002</v>
      </c>
      <c r="K23" s="26">
        <v>78</v>
      </c>
      <c r="L23" s="27">
        <v>116</v>
      </c>
      <c r="M23" s="28">
        <v>74</v>
      </c>
      <c r="N23" s="26">
        <v>4</v>
      </c>
      <c r="O23" s="31">
        <v>26.890000000000004</v>
      </c>
    </row>
    <row r="24" spans="1:15">
      <c r="A24" s="7">
        <v>77</v>
      </c>
      <c r="B24" s="8">
        <v>109</v>
      </c>
      <c r="C24" s="9">
        <v>65</v>
      </c>
      <c r="D24" s="7">
        <v>4</v>
      </c>
      <c r="E24" s="12">
        <v>36.290000000000006</v>
      </c>
      <c r="F24" s="16">
        <v>77</v>
      </c>
      <c r="G24" s="17">
        <v>121</v>
      </c>
      <c r="H24" s="18">
        <v>81</v>
      </c>
      <c r="I24" s="16">
        <v>3</v>
      </c>
      <c r="J24" s="21">
        <v>19.150000000000002</v>
      </c>
      <c r="K24" s="26">
        <v>77</v>
      </c>
      <c r="L24" s="27">
        <v>115</v>
      </c>
      <c r="M24" s="28">
        <v>72</v>
      </c>
      <c r="N24" s="26">
        <v>4</v>
      </c>
      <c r="O24" s="31">
        <v>28.590000000000003</v>
      </c>
    </row>
    <row r="25" spans="1:15">
      <c r="A25" s="7">
        <v>76</v>
      </c>
      <c r="B25" s="8">
        <v>108</v>
      </c>
      <c r="C25" s="9">
        <v>63</v>
      </c>
      <c r="D25" s="7">
        <v>4</v>
      </c>
      <c r="E25" s="12">
        <v>38.420000000000009</v>
      </c>
      <c r="F25" s="16">
        <v>76</v>
      </c>
      <c r="G25" s="17">
        <v>120</v>
      </c>
      <c r="H25" s="18">
        <v>80</v>
      </c>
      <c r="I25" s="16">
        <v>3</v>
      </c>
      <c r="J25" s="21">
        <v>20.240000000000002</v>
      </c>
      <c r="K25" s="26">
        <v>76</v>
      </c>
      <c r="L25" s="27">
        <v>114</v>
      </c>
      <c r="M25" s="28">
        <v>71</v>
      </c>
      <c r="N25" s="26">
        <v>4</v>
      </c>
      <c r="O25" s="31">
        <v>30.290000000000003</v>
      </c>
    </row>
    <row r="26" spans="1:15">
      <c r="A26" s="7">
        <v>75</v>
      </c>
      <c r="B26" s="8">
        <v>107</v>
      </c>
      <c r="C26" s="9">
        <v>61</v>
      </c>
      <c r="D26" s="7">
        <v>4</v>
      </c>
      <c r="E26" s="12">
        <v>40.550000000000011</v>
      </c>
      <c r="F26" s="16">
        <v>75</v>
      </c>
      <c r="G26" s="17">
        <v>119</v>
      </c>
      <c r="H26" s="18">
        <v>79</v>
      </c>
      <c r="I26" s="16">
        <v>3</v>
      </c>
      <c r="J26" s="21">
        <v>21.330000000000002</v>
      </c>
      <c r="K26" s="26">
        <v>75</v>
      </c>
      <c r="L26" s="27">
        <v>113</v>
      </c>
      <c r="M26" s="28">
        <v>69</v>
      </c>
      <c r="N26" s="26">
        <v>4</v>
      </c>
      <c r="O26" s="31">
        <v>31.990000000000002</v>
      </c>
    </row>
    <row r="27" spans="1:15">
      <c r="A27" s="7">
        <v>74</v>
      </c>
      <c r="B27" s="8">
        <v>106</v>
      </c>
      <c r="C27" s="9">
        <v>58</v>
      </c>
      <c r="D27" s="7">
        <v>5</v>
      </c>
      <c r="E27" s="12">
        <v>43.050000000000011</v>
      </c>
      <c r="F27" s="16">
        <v>74</v>
      </c>
      <c r="G27" s="17">
        <v>118</v>
      </c>
      <c r="H27" s="18">
        <v>78</v>
      </c>
      <c r="I27" s="16">
        <v>3</v>
      </c>
      <c r="J27" s="21">
        <v>22.42</v>
      </c>
      <c r="K27" s="26">
        <v>74</v>
      </c>
      <c r="L27" s="27">
        <v>112</v>
      </c>
      <c r="M27" s="28">
        <v>67</v>
      </c>
      <c r="N27" s="26">
        <v>4</v>
      </c>
      <c r="O27" s="31">
        <v>33.690000000000005</v>
      </c>
    </row>
    <row r="28" spans="1:15">
      <c r="A28" s="7">
        <v>73</v>
      </c>
      <c r="B28" s="8">
        <v>105</v>
      </c>
      <c r="C28" s="9">
        <v>56</v>
      </c>
      <c r="D28" s="7">
        <v>5</v>
      </c>
      <c r="E28" s="12">
        <v>45.550000000000011</v>
      </c>
      <c r="F28" s="16">
        <v>73</v>
      </c>
      <c r="G28" s="17">
        <v>118</v>
      </c>
      <c r="H28" s="18">
        <v>77</v>
      </c>
      <c r="I28" s="16">
        <v>3</v>
      </c>
      <c r="J28" s="21">
        <v>23.51</v>
      </c>
      <c r="K28" s="26">
        <v>73</v>
      </c>
      <c r="L28" s="27">
        <v>111</v>
      </c>
      <c r="M28" s="28">
        <v>65</v>
      </c>
      <c r="N28" s="26">
        <v>4</v>
      </c>
      <c r="O28" s="31">
        <v>35.390000000000008</v>
      </c>
    </row>
    <row r="29" spans="1:15">
      <c r="A29" s="7">
        <v>72</v>
      </c>
      <c r="B29" s="8">
        <v>104</v>
      </c>
      <c r="C29" s="9">
        <v>53</v>
      </c>
      <c r="D29" s="7">
        <v>5</v>
      </c>
      <c r="E29" s="12">
        <v>48.050000000000011</v>
      </c>
      <c r="F29" s="16">
        <v>72</v>
      </c>
      <c r="G29" s="17">
        <v>117</v>
      </c>
      <c r="H29" s="18">
        <v>76</v>
      </c>
      <c r="I29" s="16">
        <v>4</v>
      </c>
      <c r="J29" s="21">
        <v>24.720000000000002</v>
      </c>
      <c r="K29" s="26">
        <v>72</v>
      </c>
      <c r="L29" s="27">
        <v>110</v>
      </c>
      <c r="M29" s="28">
        <v>64</v>
      </c>
      <c r="N29" s="26">
        <v>4</v>
      </c>
      <c r="O29" s="31">
        <v>37.090000000000011</v>
      </c>
    </row>
    <row r="30" spans="1:15">
      <c r="A30" s="7">
        <v>71</v>
      </c>
      <c r="B30" s="8">
        <v>103</v>
      </c>
      <c r="C30" s="9">
        <v>51</v>
      </c>
      <c r="D30" s="7">
        <v>5</v>
      </c>
      <c r="E30" s="12">
        <v>50.550000000000011</v>
      </c>
      <c r="F30" s="16">
        <v>71</v>
      </c>
      <c r="G30" s="17">
        <v>116</v>
      </c>
      <c r="H30" s="18">
        <v>75</v>
      </c>
      <c r="I30" s="16">
        <v>4</v>
      </c>
      <c r="J30" s="21">
        <v>25.930000000000003</v>
      </c>
      <c r="K30" s="26">
        <v>71</v>
      </c>
      <c r="L30" s="27">
        <v>110</v>
      </c>
      <c r="M30" s="28">
        <v>62</v>
      </c>
      <c r="N30" s="26">
        <v>4</v>
      </c>
      <c r="O30" s="31">
        <v>38.790000000000013</v>
      </c>
    </row>
    <row r="31" spans="1:15">
      <c r="A31" s="7">
        <v>70</v>
      </c>
      <c r="B31" s="8">
        <v>102</v>
      </c>
      <c r="C31" s="9">
        <v>48</v>
      </c>
      <c r="D31" s="7">
        <v>5</v>
      </c>
      <c r="E31" s="12">
        <v>53.050000000000011</v>
      </c>
      <c r="F31" s="16">
        <v>70</v>
      </c>
      <c r="G31" s="17">
        <v>115</v>
      </c>
      <c r="H31" s="18">
        <v>73</v>
      </c>
      <c r="I31" s="16">
        <v>4</v>
      </c>
      <c r="J31" s="21">
        <v>27.140000000000004</v>
      </c>
      <c r="K31" s="26">
        <v>70</v>
      </c>
      <c r="L31" s="27">
        <v>109</v>
      </c>
      <c r="M31" s="28">
        <v>60</v>
      </c>
      <c r="N31" s="26">
        <v>4</v>
      </c>
      <c r="O31" s="31">
        <v>40.490000000000016</v>
      </c>
    </row>
    <row r="32" spans="1:15">
      <c r="A32" s="7">
        <v>69</v>
      </c>
      <c r="B32" s="8">
        <v>101</v>
      </c>
      <c r="C32" s="9">
        <v>46</v>
      </c>
      <c r="D32" s="7">
        <v>5</v>
      </c>
      <c r="E32" s="12">
        <v>55.550000000000011</v>
      </c>
      <c r="F32" s="16">
        <v>69</v>
      </c>
      <c r="G32" s="17">
        <v>114</v>
      </c>
      <c r="H32" s="18">
        <v>72</v>
      </c>
      <c r="I32" s="16">
        <v>4</v>
      </c>
      <c r="J32" s="21">
        <v>28.350000000000005</v>
      </c>
      <c r="K32" s="26">
        <v>69</v>
      </c>
      <c r="L32" s="27">
        <v>108</v>
      </c>
      <c r="M32" s="28">
        <v>59</v>
      </c>
      <c r="N32" s="26">
        <v>5</v>
      </c>
      <c r="O32" s="31">
        <v>41.920000000000016</v>
      </c>
    </row>
    <row r="33" spans="1:15">
      <c r="A33" s="7">
        <v>68</v>
      </c>
      <c r="B33" s="8">
        <v>100</v>
      </c>
      <c r="C33" s="9">
        <v>43</v>
      </c>
      <c r="D33" s="7">
        <v>5</v>
      </c>
      <c r="E33" s="12">
        <v>58.050000000000011</v>
      </c>
      <c r="F33" s="16">
        <v>68</v>
      </c>
      <c r="G33" s="17">
        <v>114</v>
      </c>
      <c r="H33" s="18">
        <v>71</v>
      </c>
      <c r="I33" s="16">
        <v>4</v>
      </c>
      <c r="J33" s="21">
        <v>29.560000000000006</v>
      </c>
      <c r="K33" s="26">
        <v>68</v>
      </c>
      <c r="L33" s="27">
        <v>107</v>
      </c>
      <c r="M33" s="28">
        <v>57</v>
      </c>
      <c r="N33" s="26">
        <v>5</v>
      </c>
      <c r="O33" s="31">
        <v>43.350000000000016</v>
      </c>
    </row>
    <row r="34" spans="1:15">
      <c r="A34" s="7">
        <v>67</v>
      </c>
      <c r="B34" s="8">
        <v>99</v>
      </c>
      <c r="C34" s="9">
        <v>41</v>
      </c>
      <c r="D34" s="7">
        <v>5</v>
      </c>
      <c r="E34" s="12">
        <v>60.550000000000011</v>
      </c>
      <c r="F34" s="16">
        <v>67</v>
      </c>
      <c r="G34" s="17">
        <v>113</v>
      </c>
      <c r="H34" s="18">
        <v>70</v>
      </c>
      <c r="I34" s="16">
        <v>4</v>
      </c>
      <c r="J34" s="21">
        <v>30.770000000000007</v>
      </c>
      <c r="K34" s="26">
        <v>67</v>
      </c>
      <c r="L34" s="27">
        <v>106</v>
      </c>
      <c r="M34" s="28">
        <v>56</v>
      </c>
      <c r="N34" s="26">
        <v>5</v>
      </c>
      <c r="O34" s="31">
        <v>44.780000000000015</v>
      </c>
    </row>
    <row r="35" spans="1:15">
      <c r="A35" s="7">
        <v>66</v>
      </c>
      <c r="B35" s="8">
        <v>98</v>
      </c>
      <c r="C35" s="9">
        <v>39</v>
      </c>
      <c r="D35" s="7">
        <v>6</v>
      </c>
      <c r="E35" s="12">
        <v>62.100000000000009</v>
      </c>
      <c r="F35" s="16">
        <v>66</v>
      </c>
      <c r="G35" s="17">
        <v>112</v>
      </c>
      <c r="H35" s="18">
        <v>69</v>
      </c>
      <c r="I35" s="16">
        <v>4</v>
      </c>
      <c r="J35" s="21">
        <v>31.980000000000008</v>
      </c>
      <c r="K35" s="26">
        <v>66</v>
      </c>
      <c r="L35" s="27">
        <v>105</v>
      </c>
      <c r="M35" s="28">
        <v>55</v>
      </c>
      <c r="N35" s="26">
        <v>5</v>
      </c>
      <c r="O35" s="31">
        <v>46.210000000000015</v>
      </c>
    </row>
    <row r="36" spans="1:15">
      <c r="A36" s="7">
        <v>65</v>
      </c>
      <c r="B36" s="8">
        <v>97</v>
      </c>
      <c r="C36" s="9">
        <v>37</v>
      </c>
      <c r="D36" s="7">
        <v>6</v>
      </c>
      <c r="E36" s="12">
        <v>63.650000000000006</v>
      </c>
      <c r="F36" s="16">
        <v>65</v>
      </c>
      <c r="G36" s="17">
        <v>111</v>
      </c>
      <c r="H36" s="18">
        <v>67</v>
      </c>
      <c r="I36" s="16">
        <v>4</v>
      </c>
      <c r="J36" s="21">
        <v>33.190000000000005</v>
      </c>
      <c r="K36" s="26">
        <v>65</v>
      </c>
      <c r="L36" s="27">
        <v>104</v>
      </c>
      <c r="M36" s="28">
        <v>53</v>
      </c>
      <c r="N36" s="26">
        <v>5</v>
      </c>
      <c r="O36" s="31">
        <v>47.640000000000015</v>
      </c>
    </row>
    <row r="37" spans="1:15">
      <c r="A37" s="7">
        <v>64</v>
      </c>
      <c r="B37" s="8">
        <v>96</v>
      </c>
      <c r="C37" s="9">
        <v>36</v>
      </c>
      <c r="D37" s="7">
        <v>6</v>
      </c>
      <c r="E37" s="12">
        <v>65.2</v>
      </c>
      <c r="F37" s="16">
        <v>64</v>
      </c>
      <c r="G37" s="17">
        <v>110</v>
      </c>
      <c r="H37" s="18">
        <v>66</v>
      </c>
      <c r="I37" s="16">
        <v>4</v>
      </c>
      <c r="J37" s="21">
        <v>34.400000000000006</v>
      </c>
      <c r="K37" s="26">
        <v>64</v>
      </c>
      <c r="L37" s="27">
        <v>103</v>
      </c>
      <c r="M37" s="28">
        <v>52</v>
      </c>
      <c r="N37" s="26">
        <v>5</v>
      </c>
      <c r="O37" s="31">
        <v>49.070000000000014</v>
      </c>
    </row>
    <row r="38" spans="1:15">
      <c r="A38" s="7">
        <v>63</v>
      </c>
      <c r="B38" s="8">
        <v>95</v>
      </c>
      <c r="C38" s="9">
        <v>34</v>
      </c>
      <c r="D38" s="7">
        <v>6</v>
      </c>
      <c r="E38" s="12">
        <v>66.75</v>
      </c>
      <c r="F38" s="16">
        <v>63</v>
      </c>
      <c r="G38" s="17">
        <v>109</v>
      </c>
      <c r="H38" s="18">
        <v>65</v>
      </c>
      <c r="I38" s="16">
        <v>4</v>
      </c>
      <c r="J38" s="21">
        <v>35.610000000000007</v>
      </c>
      <c r="K38" s="26">
        <v>63</v>
      </c>
      <c r="L38" s="27">
        <v>102</v>
      </c>
      <c r="M38" s="28">
        <v>50</v>
      </c>
      <c r="N38" s="26">
        <v>5</v>
      </c>
      <c r="O38" s="31">
        <v>50.500000000000014</v>
      </c>
    </row>
    <row r="39" spans="1:15">
      <c r="A39" s="7">
        <v>62</v>
      </c>
      <c r="B39" s="8">
        <v>94</v>
      </c>
      <c r="C39" s="9">
        <v>32</v>
      </c>
      <c r="D39" s="7">
        <v>6</v>
      </c>
      <c r="E39" s="12">
        <v>68.3</v>
      </c>
      <c r="F39" s="16">
        <v>62</v>
      </c>
      <c r="G39" s="17">
        <v>109</v>
      </c>
      <c r="H39" s="18">
        <v>64</v>
      </c>
      <c r="I39" s="16">
        <v>4</v>
      </c>
      <c r="J39" s="21">
        <v>36.820000000000007</v>
      </c>
      <c r="K39" s="26">
        <v>62</v>
      </c>
      <c r="L39" s="27">
        <v>101</v>
      </c>
      <c r="M39" s="28">
        <v>49</v>
      </c>
      <c r="N39" s="26">
        <v>5</v>
      </c>
      <c r="O39" s="31">
        <v>51.930000000000014</v>
      </c>
    </row>
    <row r="40" spans="1:15">
      <c r="A40" s="7">
        <v>61</v>
      </c>
      <c r="B40" s="8">
        <v>93</v>
      </c>
      <c r="C40" s="9">
        <v>31</v>
      </c>
      <c r="D40" s="7">
        <v>6</v>
      </c>
      <c r="E40" s="12">
        <v>69.849999999999994</v>
      </c>
      <c r="F40" s="16">
        <v>61</v>
      </c>
      <c r="G40" s="17">
        <v>108</v>
      </c>
      <c r="H40" s="18">
        <v>63</v>
      </c>
      <c r="I40" s="16">
        <v>4</v>
      </c>
      <c r="J40" s="21">
        <v>38.030000000000008</v>
      </c>
      <c r="K40" s="26">
        <v>61</v>
      </c>
      <c r="L40" s="27">
        <v>101</v>
      </c>
      <c r="M40" s="28">
        <v>47</v>
      </c>
      <c r="N40" s="26">
        <v>5</v>
      </c>
      <c r="O40" s="31">
        <v>53.360000000000014</v>
      </c>
    </row>
    <row r="41" spans="1:15">
      <c r="A41" s="7">
        <v>60</v>
      </c>
      <c r="B41" s="8">
        <v>91</v>
      </c>
      <c r="C41" s="9">
        <v>29</v>
      </c>
      <c r="D41" s="7">
        <v>6</v>
      </c>
      <c r="E41" s="12">
        <v>71.399999999999991</v>
      </c>
      <c r="F41" s="16">
        <v>60</v>
      </c>
      <c r="G41" s="17">
        <v>107</v>
      </c>
      <c r="H41" s="18">
        <v>61</v>
      </c>
      <c r="I41" s="16">
        <v>4</v>
      </c>
      <c r="J41" s="21">
        <v>39.240000000000009</v>
      </c>
      <c r="K41" s="26">
        <v>60</v>
      </c>
      <c r="L41" s="27">
        <v>100</v>
      </c>
      <c r="M41" s="28">
        <v>46</v>
      </c>
      <c r="N41" s="26">
        <v>5</v>
      </c>
      <c r="O41" s="31">
        <v>54.790000000000013</v>
      </c>
    </row>
    <row r="42" spans="1:15">
      <c r="A42" s="7">
        <v>59</v>
      </c>
      <c r="B42" s="8">
        <v>90</v>
      </c>
      <c r="C42" s="9">
        <v>28</v>
      </c>
      <c r="D42" s="7">
        <v>6</v>
      </c>
      <c r="E42" s="12">
        <v>72.949999999999989</v>
      </c>
      <c r="F42" s="16">
        <v>59</v>
      </c>
      <c r="G42" s="17">
        <v>106</v>
      </c>
      <c r="H42" s="18">
        <v>60</v>
      </c>
      <c r="I42" s="16">
        <v>4</v>
      </c>
      <c r="J42" s="21">
        <v>40.45000000000001</v>
      </c>
      <c r="K42" s="26">
        <v>59</v>
      </c>
      <c r="L42" s="27">
        <v>99</v>
      </c>
      <c r="M42" s="28">
        <v>44</v>
      </c>
      <c r="N42" s="26">
        <v>5</v>
      </c>
      <c r="O42" s="31">
        <v>56.220000000000013</v>
      </c>
    </row>
    <row r="43" spans="1:15">
      <c r="A43" s="7">
        <v>58</v>
      </c>
      <c r="B43" s="8">
        <v>89</v>
      </c>
      <c r="C43" s="9">
        <v>26</v>
      </c>
      <c r="D43" s="7">
        <v>6</v>
      </c>
      <c r="E43" s="12">
        <v>74.499999999999986</v>
      </c>
      <c r="F43" s="16">
        <v>58</v>
      </c>
      <c r="G43" s="17">
        <v>105</v>
      </c>
      <c r="H43" s="18">
        <v>59</v>
      </c>
      <c r="I43" s="16">
        <v>5</v>
      </c>
      <c r="J43" s="21">
        <v>41.70000000000001</v>
      </c>
      <c r="K43" s="26">
        <v>58</v>
      </c>
      <c r="L43" s="27">
        <v>98</v>
      </c>
      <c r="M43" s="28">
        <v>43</v>
      </c>
      <c r="N43" s="26">
        <v>5</v>
      </c>
      <c r="O43" s="31">
        <v>57.650000000000013</v>
      </c>
    </row>
    <row r="44" spans="1:15">
      <c r="A44" s="7">
        <v>57</v>
      </c>
      <c r="B44" s="8">
        <v>88</v>
      </c>
      <c r="C44" s="9">
        <v>25</v>
      </c>
      <c r="D44" s="7">
        <v>6</v>
      </c>
      <c r="E44" s="12">
        <v>76.049999999999983</v>
      </c>
      <c r="F44" s="16">
        <v>57</v>
      </c>
      <c r="G44" s="17">
        <v>104</v>
      </c>
      <c r="H44" s="18">
        <v>58</v>
      </c>
      <c r="I44" s="16">
        <v>5</v>
      </c>
      <c r="J44" s="21">
        <v>42.95000000000001</v>
      </c>
      <c r="K44" s="26">
        <v>57</v>
      </c>
      <c r="L44" s="27">
        <v>97</v>
      </c>
      <c r="M44" s="28">
        <v>42</v>
      </c>
      <c r="N44" s="26">
        <v>5</v>
      </c>
      <c r="O44" s="31">
        <v>59.080000000000013</v>
      </c>
    </row>
    <row r="45" spans="1:15">
      <c r="A45" s="7">
        <v>56</v>
      </c>
      <c r="B45" s="8">
        <v>87</v>
      </c>
      <c r="C45" s="9">
        <v>23</v>
      </c>
      <c r="D45" s="7">
        <v>6</v>
      </c>
      <c r="E45" s="12">
        <v>77.59999999999998</v>
      </c>
      <c r="F45" s="16">
        <v>56</v>
      </c>
      <c r="G45" s="17">
        <v>104</v>
      </c>
      <c r="H45" s="18">
        <v>56</v>
      </c>
      <c r="I45" s="16">
        <v>5</v>
      </c>
      <c r="J45" s="21">
        <v>44.20000000000001</v>
      </c>
      <c r="K45" s="26">
        <v>56</v>
      </c>
      <c r="L45" s="27">
        <v>96</v>
      </c>
      <c r="M45" s="28">
        <v>40</v>
      </c>
      <c r="N45" s="26">
        <v>5</v>
      </c>
      <c r="O45" s="31">
        <v>60.510000000000012</v>
      </c>
    </row>
    <row r="46" spans="1:15">
      <c r="A46" s="7">
        <v>55</v>
      </c>
      <c r="B46" s="8">
        <v>86</v>
      </c>
      <c r="C46" s="9">
        <v>22</v>
      </c>
      <c r="D46" s="7">
        <v>7</v>
      </c>
      <c r="E46" s="12">
        <v>78.59999999999998</v>
      </c>
      <c r="F46" s="16">
        <v>55</v>
      </c>
      <c r="G46" s="17">
        <v>103</v>
      </c>
      <c r="H46" s="18">
        <v>55</v>
      </c>
      <c r="I46" s="16">
        <v>5</v>
      </c>
      <c r="J46" s="21">
        <v>45.45000000000001</v>
      </c>
      <c r="K46" s="26">
        <v>55</v>
      </c>
      <c r="L46" s="27">
        <v>95</v>
      </c>
      <c r="M46" s="28">
        <v>39</v>
      </c>
      <c r="N46" s="26">
        <v>6</v>
      </c>
      <c r="O46" s="31">
        <v>61.820000000000014</v>
      </c>
    </row>
    <row r="47" spans="1:15">
      <c r="A47" s="7">
        <v>54</v>
      </c>
      <c r="B47" s="8">
        <v>85</v>
      </c>
      <c r="C47" s="9">
        <v>21</v>
      </c>
      <c r="D47" s="7">
        <v>7</v>
      </c>
      <c r="E47" s="12">
        <v>79.59999999999998</v>
      </c>
      <c r="F47" s="16">
        <v>54</v>
      </c>
      <c r="G47" s="17">
        <v>102</v>
      </c>
      <c r="H47" s="18">
        <v>54</v>
      </c>
      <c r="I47" s="16">
        <v>5</v>
      </c>
      <c r="J47" s="21">
        <v>46.70000000000001</v>
      </c>
      <c r="K47" s="26">
        <v>54</v>
      </c>
      <c r="L47" s="27">
        <v>94</v>
      </c>
      <c r="M47" s="28">
        <v>38</v>
      </c>
      <c r="N47" s="26">
        <v>6</v>
      </c>
      <c r="O47" s="31">
        <v>63.130000000000017</v>
      </c>
    </row>
    <row r="48" spans="1:15">
      <c r="A48" s="7">
        <v>53</v>
      </c>
      <c r="B48" s="8">
        <v>84</v>
      </c>
      <c r="C48" s="9">
        <v>20</v>
      </c>
      <c r="D48" s="7">
        <v>7</v>
      </c>
      <c r="E48" s="12">
        <v>80.59999999999998</v>
      </c>
      <c r="F48" s="16">
        <v>53</v>
      </c>
      <c r="G48" s="17">
        <v>101</v>
      </c>
      <c r="H48" s="18">
        <v>53</v>
      </c>
      <c r="I48" s="16">
        <v>5</v>
      </c>
      <c r="J48" s="21">
        <v>47.95000000000001</v>
      </c>
      <c r="K48" s="26">
        <v>53</v>
      </c>
      <c r="L48" s="27">
        <v>93</v>
      </c>
      <c r="M48" s="28">
        <v>36</v>
      </c>
      <c r="N48" s="26">
        <v>6</v>
      </c>
      <c r="O48" s="31">
        <v>64.440000000000012</v>
      </c>
    </row>
    <row r="49" spans="1:15">
      <c r="A49" s="7">
        <v>52</v>
      </c>
      <c r="B49" s="8">
        <v>83</v>
      </c>
      <c r="C49" s="9">
        <v>19</v>
      </c>
      <c r="D49" s="7">
        <v>7</v>
      </c>
      <c r="E49" s="12">
        <v>81.59999999999998</v>
      </c>
      <c r="F49" s="16">
        <v>52</v>
      </c>
      <c r="G49" s="17">
        <v>100</v>
      </c>
      <c r="H49" s="18">
        <v>51</v>
      </c>
      <c r="I49" s="16">
        <v>5</v>
      </c>
      <c r="J49" s="21">
        <v>49.20000000000001</v>
      </c>
      <c r="K49" s="26">
        <v>52</v>
      </c>
      <c r="L49" s="27">
        <v>92</v>
      </c>
      <c r="M49" s="28">
        <v>35</v>
      </c>
      <c r="N49" s="26">
        <v>6</v>
      </c>
      <c r="O49" s="31">
        <v>65.750000000000014</v>
      </c>
    </row>
    <row r="50" spans="1:15">
      <c r="A50" s="7">
        <v>51</v>
      </c>
      <c r="B50" s="8">
        <v>82</v>
      </c>
      <c r="C50" s="9">
        <v>18</v>
      </c>
      <c r="D50" s="7">
        <v>7</v>
      </c>
      <c r="E50" s="12">
        <v>82.59999999999998</v>
      </c>
      <c r="F50" s="16">
        <v>51</v>
      </c>
      <c r="G50" s="17">
        <v>99</v>
      </c>
      <c r="H50" s="18">
        <v>50</v>
      </c>
      <c r="I50" s="16">
        <v>5</v>
      </c>
      <c r="J50" s="21">
        <v>50.45000000000001</v>
      </c>
      <c r="K50" s="26">
        <v>51</v>
      </c>
      <c r="L50" s="27">
        <v>92</v>
      </c>
      <c r="M50" s="28">
        <v>34</v>
      </c>
      <c r="N50" s="26">
        <v>6</v>
      </c>
      <c r="O50" s="31">
        <v>67.060000000000016</v>
      </c>
    </row>
    <row r="51" spans="1:15">
      <c r="A51" s="7">
        <v>50</v>
      </c>
      <c r="B51" s="8">
        <v>81</v>
      </c>
      <c r="C51" s="9">
        <v>17</v>
      </c>
      <c r="D51" s="7">
        <v>7</v>
      </c>
      <c r="E51" s="12">
        <v>83.59999999999998</v>
      </c>
      <c r="F51" s="16">
        <v>50</v>
      </c>
      <c r="G51" s="17">
        <v>99</v>
      </c>
      <c r="H51" s="18">
        <v>49</v>
      </c>
      <c r="I51" s="16">
        <v>5</v>
      </c>
      <c r="J51" s="21">
        <v>51.70000000000001</v>
      </c>
      <c r="K51" s="26">
        <v>50</v>
      </c>
      <c r="L51" s="27">
        <v>91</v>
      </c>
      <c r="M51" s="28">
        <v>32</v>
      </c>
      <c r="N51" s="26">
        <v>6</v>
      </c>
      <c r="O51" s="31">
        <v>68.370000000000019</v>
      </c>
    </row>
    <row r="52" spans="1:15">
      <c r="A52" s="7">
        <v>49</v>
      </c>
      <c r="B52" s="8">
        <v>80</v>
      </c>
      <c r="C52" s="9">
        <v>16</v>
      </c>
      <c r="D52" s="7">
        <v>7</v>
      </c>
      <c r="E52" s="12">
        <v>84.59999999999998</v>
      </c>
      <c r="F52" s="16">
        <v>49</v>
      </c>
      <c r="G52" s="17">
        <v>98</v>
      </c>
      <c r="H52" s="18">
        <v>48</v>
      </c>
      <c r="I52" s="16">
        <v>5</v>
      </c>
      <c r="J52" s="21">
        <v>52.95000000000001</v>
      </c>
      <c r="K52" s="26">
        <v>49</v>
      </c>
      <c r="L52" s="27">
        <v>90</v>
      </c>
      <c r="M52" s="28">
        <v>31</v>
      </c>
      <c r="N52" s="26">
        <v>6</v>
      </c>
      <c r="O52" s="31">
        <v>69.680000000000021</v>
      </c>
    </row>
    <row r="53" spans="1:15">
      <c r="A53" s="7">
        <v>48</v>
      </c>
      <c r="B53" s="8">
        <v>79</v>
      </c>
      <c r="C53" s="9">
        <v>15</v>
      </c>
      <c r="D53" s="7">
        <v>7</v>
      </c>
      <c r="E53" s="12">
        <v>85.59999999999998</v>
      </c>
      <c r="F53" s="16">
        <v>48</v>
      </c>
      <c r="G53" s="17">
        <v>97</v>
      </c>
      <c r="H53" s="18">
        <v>46</v>
      </c>
      <c r="I53" s="16">
        <v>5</v>
      </c>
      <c r="J53" s="21">
        <v>54.20000000000001</v>
      </c>
      <c r="K53" s="26">
        <v>48</v>
      </c>
      <c r="L53" s="27">
        <v>89</v>
      </c>
      <c r="M53" s="28">
        <v>30</v>
      </c>
      <c r="N53" s="26">
        <v>6</v>
      </c>
      <c r="O53" s="31">
        <v>70.990000000000023</v>
      </c>
    </row>
    <row r="54" spans="1:15">
      <c r="A54" s="7">
        <v>47</v>
      </c>
      <c r="B54" s="8">
        <v>78</v>
      </c>
      <c r="C54" s="9">
        <v>14</v>
      </c>
      <c r="D54" s="7">
        <v>7</v>
      </c>
      <c r="E54" s="12">
        <v>86.59999999999998</v>
      </c>
      <c r="F54" s="16">
        <v>47</v>
      </c>
      <c r="G54" s="17">
        <v>96</v>
      </c>
      <c r="H54" s="18">
        <v>45</v>
      </c>
      <c r="I54" s="16">
        <v>5</v>
      </c>
      <c r="J54" s="21">
        <v>55.45000000000001</v>
      </c>
      <c r="K54" s="26">
        <v>47</v>
      </c>
      <c r="L54" s="27">
        <v>88</v>
      </c>
      <c r="M54" s="28">
        <v>28</v>
      </c>
      <c r="N54" s="26">
        <v>6</v>
      </c>
      <c r="O54" s="31">
        <v>72.300000000000026</v>
      </c>
    </row>
    <row r="55" spans="1:15">
      <c r="A55" s="7">
        <v>46</v>
      </c>
      <c r="B55" s="8">
        <v>77</v>
      </c>
      <c r="C55" s="9">
        <v>13</v>
      </c>
      <c r="D55" s="7">
        <v>7</v>
      </c>
      <c r="E55" s="12">
        <v>87.59999999999998</v>
      </c>
      <c r="F55" s="16">
        <v>46</v>
      </c>
      <c r="G55" s="17">
        <v>95</v>
      </c>
      <c r="H55" s="18">
        <v>44</v>
      </c>
      <c r="I55" s="16">
        <v>5</v>
      </c>
      <c r="J55" s="21">
        <v>56.70000000000001</v>
      </c>
      <c r="K55" s="26">
        <v>46</v>
      </c>
      <c r="L55" s="27">
        <v>87</v>
      </c>
      <c r="M55" s="28">
        <v>27</v>
      </c>
      <c r="N55" s="26">
        <v>6</v>
      </c>
      <c r="O55" s="31">
        <v>73.610000000000028</v>
      </c>
    </row>
    <row r="56" spans="1:15">
      <c r="A56" s="7">
        <v>45</v>
      </c>
      <c r="B56" s="8">
        <v>76</v>
      </c>
      <c r="C56" s="9">
        <v>12</v>
      </c>
      <c r="D56" s="7">
        <v>7</v>
      </c>
      <c r="E56" s="12">
        <v>88.59999999999998</v>
      </c>
      <c r="F56" s="16">
        <v>45</v>
      </c>
      <c r="G56" s="17">
        <v>94</v>
      </c>
      <c r="H56" s="18">
        <v>43</v>
      </c>
      <c r="I56" s="16">
        <v>5</v>
      </c>
      <c r="J56" s="21">
        <v>57.95000000000001</v>
      </c>
      <c r="K56" s="26">
        <v>45</v>
      </c>
      <c r="L56" s="27">
        <v>86</v>
      </c>
      <c r="M56" s="28">
        <v>26</v>
      </c>
      <c r="N56" s="26">
        <v>6</v>
      </c>
      <c r="O56" s="31">
        <v>74.92000000000003</v>
      </c>
    </row>
    <row r="57" spans="1:15">
      <c r="A57" s="7">
        <v>44</v>
      </c>
      <c r="B57" s="8">
        <v>75</v>
      </c>
      <c r="C57" s="9">
        <v>11</v>
      </c>
      <c r="D57" s="7">
        <v>7</v>
      </c>
      <c r="E57" s="12">
        <v>89.59999999999998</v>
      </c>
      <c r="F57" s="16">
        <v>44</v>
      </c>
      <c r="G57" s="17">
        <v>94</v>
      </c>
      <c r="H57" s="18">
        <v>41</v>
      </c>
      <c r="I57" s="16">
        <v>5</v>
      </c>
      <c r="J57" s="21">
        <v>59.20000000000001</v>
      </c>
      <c r="K57" s="26">
        <v>44</v>
      </c>
      <c r="L57" s="27">
        <v>85</v>
      </c>
      <c r="M57" s="28">
        <v>24</v>
      </c>
      <c r="N57" s="26">
        <v>6</v>
      </c>
      <c r="O57" s="31">
        <v>76.230000000000032</v>
      </c>
    </row>
    <row r="58" spans="1:15">
      <c r="A58" s="7">
        <v>43</v>
      </c>
      <c r="B58" s="8">
        <v>74</v>
      </c>
      <c r="C58" s="9">
        <v>10</v>
      </c>
      <c r="D58" s="7">
        <v>8</v>
      </c>
      <c r="E58" s="12">
        <v>90.069999999999979</v>
      </c>
      <c r="F58" s="16">
        <v>43</v>
      </c>
      <c r="G58" s="17">
        <v>93</v>
      </c>
      <c r="H58" s="18">
        <v>40</v>
      </c>
      <c r="I58" s="16">
        <v>5</v>
      </c>
      <c r="J58" s="21">
        <v>60.45000000000001</v>
      </c>
      <c r="K58" s="26">
        <v>43</v>
      </c>
      <c r="L58" s="27">
        <v>84</v>
      </c>
      <c r="M58" s="28">
        <v>23</v>
      </c>
      <c r="N58" s="26">
        <v>6</v>
      </c>
      <c r="O58" s="31">
        <v>77.540000000000035</v>
      </c>
    </row>
    <row r="59" spans="1:15">
      <c r="A59" s="7">
        <v>42</v>
      </c>
      <c r="B59" s="8">
        <v>73</v>
      </c>
      <c r="C59" s="9">
        <v>10</v>
      </c>
      <c r="D59" s="7">
        <v>8</v>
      </c>
      <c r="E59" s="12">
        <v>90.539999999999978</v>
      </c>
      <c r="F59" s="16">
        <v>42</v>
      </c>
      <c r="G59" s="17">
        <v>92</v>
      </c>
      <c r="H59" s="18">
        <v>39</v>
      </c>
      <c r="I59" s="16">
        <v>6</v>
      </c>
      <c r="J59" s="21">
        <v>61.870000000000012</v>
      </c>
      <c r="K59" s="26">
        <v>42</v>
      </c>
      <c r="L59" s="27">
        <v>83</v>
      </c>
      <c r="M59" s="28">
        <v>22</v>
      </c>
      <c r="N59" s="26">
        <v>7</v>
      </c>
      <c r="O59" s="31">
        <v>78.400000000000034</v>
      </c>
    </row>
    <row r="60" spans="1:15">
      <c r="A60" s="7">
        <v>41</v>
      </c>
      <c r="B60" s="8">
        <v>72</v>
      </c>
      <c r="C60" s="9">
        <v>9</v>
      </c>
      <c r="D60" s="7">
        <v>8</v>
      </c>
      <c r="E60" s="12">
        <v>91.009999999999977</v>
      </c>
      <c r="F60" s="16">
        <v>41</v>
      </c>
      <c r="G60" s="17">
        <v>91</v>
      </c>
      <c r="H60" s="18">
        <v>37</v>
      </c>
      <c r="I60" s="16">
        <v>6</v>
      </c>
      <c r="J60" s="21">
        <v>63.290000000000013</v>
      </c>
      <c r="K60" s="26">
        <v>41</v>
      </c>
      <c r="L60" s="27">
        <v>82</v>
      </c>
      <c r="M60" s="28">
        <v>21</v>
      </c>
      <c r="N60" s="26">
        <v>7</v>
      </c>
      <c r="O60" s="31">
        <v>79.260000000000034</v>
      </c>
    </row>
    <row r="61" spans="1:15">
      <c r="A61" s="7">
        <v>40</v>
      </c>
      <c r="B61" s="8">
        <v>71</v>
      </c>
      <c r="C61" s="9">
        <v>9</v>
      </c>
      <c r="D61" s="7">
        <v>8</v>
      </c>
      <c r="E61" s="12">
        <v>91.479999999999976</v>
      </c>
      <c r="F61" s="16">
        <v>40</v>
      </c>
      <c r="G61" s="17">
        <v>90</v>
      </c>
      <c r="H61" s="18">
        <v>36</v>
      </c>
      <c r="I61" s="16">
        <v>6</v>
      </c>
      <c r="J61" s="21">
        <v>64.710000000000008</v>
      </c>
      <c r="K61" s="26">
        <v>40</v>
      </c>
      <c r="L61" s="27">
        <v>82</v>
      </c>
      <c r="M61" s="28">
        <v>20</v>
      </c>
      <c r="N61" s="26">
        <v>7</v>
      </c>
      <c r="O61" s="31">
        <v>80.120000000000033</v>
      </c>
    </row>
    <row r="62" spans="1:15">
      <c r="A62" s="7">
        <v>39</v>
      </c>
      <c r="B62" s="8">
        <v>70</v>
      </c>
      <c r="C62" s="9">
        <v>8</v>
      </c>
      <c r="D62" s="7">
        <v>8</v>
      </c>
      <c r="E62" s="12">
        <v>91.949999999999974</v>
      </c>
      <c r="F62" s="16">
        <v>39</v>
      </c>
      <c r="G62" s="17">
        <v>89</v>
      </c>
      <c r="H62" s="18">
        <v>35</v>
      </c>
      <c r="I62" s="16">
        <v>6</v>
      </c>
      <c r="J62" s="21">
        <v>66.13000000000001</v>
      </c>
      <c r="K62" s="26">
        <v>39</v>
      </c>
      <c r="L62" s="27">
        <v>81</v>
      </c>
      <c r="M62" s="28">
        <v>19</v>
      </c>
      <c r="N62" s="26">
        <v>7</v>
      </c>
      <c r="O62" s="31">
        <v>80.980000000000032</v>
      </c>
    </row>
    <row r="63" spans="1:15">
      <c r="A63" s="7">
        <v>38</v>
      </c>
      <c r="B63" s="8">
        <v>68</v>
      </c>
      <c r="C63" s="9">
        <v>8</v>
      </c>
      <c r="D63" s="7">
        <v>8</v>
      </c>
      <c r="E63" s="12">
        <v>92.419999999999973</v>
      </c>
      <c r="F63" s="16">
        <v>38</v>
      </c>
      <c r="G63" s="17">
        <v>89</v>
      </c>
      <c r="H63" s="18">
        <v>33</v>
      </c>
      <c r="I63" s="16">
        <v>6</v>
      </c>
      <c r="J63" s="21">
        <v>67.550000000000011</v>
      </c>
      <c r="K63" s="26">
        <v>38</v>
      </c>
      <c r="L63" s="27">
        <v>80</v>
      </c>
      <c r="M63" s="28">
        <v>19</v>
      </c>
      <c r="N63" s="26">
        <v>7</v>
      </c>
      <c r="O63" s="31">
        <v>81.840000000000032</v>
      </c>
    </row>
    <row r="64" spans="1:15">
      <c r="A64" s="7">
        <v>37</v>
      </c>
      <c r="B64" s="8">
        <v>67</v>
      </c>
      <c r="C64" s="9">
        <v>7</v>
      </c>
      <c r="D64" s="7">
        <v>8</v>
      </c>
      <c r="E64" s="12">
        <v>92.889999999999972</v>
      </c>
      <c r="F64" s="16">
        <v>37</v>
      </c>
      <c r="G64" s="17">
        <v>88</v>
      </c>
      <c r="H64" s="18">
        <v>32</v>
      </c>
      <c r="I64" s="16">
        <v>6</v>
      </c>
      <c r="J64" s="21">
        <v>68.970000000000013</v>
      </c>
      <c r="K64" s="26">
        <v>37</v>
      </c>
      <c r="L64" s="27">
        <v>79</v>
      </c>
      <c r="M64" s="28">
        <v>18</v>
      </c>
      <c r="N64" s="26">
        <v>7</v>
      </c>
      <c r="O64" s="31">
        <v>82.700000000000031</v>
      </c>
    </row>
    <row r="65" spans="1:15">
      <c r="A65" s="7">
        <v>36</v>
      </c>
      <c r="B65" s="8">
        <v>66</v>
      </c>
      <c r="C65" s="9">
        <v>7</v>
      </c>
      <c r="D65" s="7">
        <v>8</v>
      </c>
      <c r="E65" s="12">
        <v>93.359999999999971</v>
      </c>
      <c r="F65" s="16">
        <v>36</v>
      </c>
      <c r="G65" s="17">
        <v>87</v>
      </c>
      <c r="H65" s="18">
        <v>30</v>
      </c>
      <c r="I65" s="16">
        <v>6</v>
      </c>
      <c r="J65" s="21">
        <v>70.390000000000015</v>
      </c>
      <c r="K65" s="26">
        <v>36</v>
      </c>
      <c r="L65" s="27">
        <v>78</v>
      </c>
      <c r="M65" s="28">
        <v>17</v>
      </c>
      <c r="N65" s="26">
        <v>7</v>
      </c>
      <c r="O65" s="31">
        <v>83.560000000000031</v>
      </c>
    </row>
    <row r="66" spans="1:15">
      <c r="A66" s="7">
        <v>35</v>
      </c>
      <c r="B66" s="8">
        <v>65</v>
      </c>
      <c r="C66" s="9">
        <v>6</v>
      </c>
      <c r="D66" s="7">
        <v>8</v>
      </c>
      <c r="E66" s="12">
        <v>93.82999999999997</v>
      </c>
      <c r="F66" s="16">
        <v>35</v>
      </c>
      <c r="G66" s="17">
        <v>86</v>
      </c>
      <c r="H66" s="18">
        <v>29</v>
      </c>
      <c r="I66" s="16">
        <v>6</v>
      </c>
      <c r="J66" s="21">
        <v>71.810000000000016</v>
      </c>
      <c r="K66" s="26">
        <v>35</v>
      </c>
      <c r="L66" s="27">
        <v>77</v>
      </c>
      <c r="M66" s="28">
        <v>16</v>
      </c>
      <c r="N66" s="26">
        <v>7</v>
      </c>
      <c r="O66" s="31">
        <v>84.42000000000003</v>
      </c>
    </row>
    <row r="67" spans="1:15">
      <c r="A67" s="7">
        <v>34</v>
      </c>
      <c r="B67" s="8">
        <v>64</v>
      </c>
      <c r="C67" s="9">
        <v>6</v>
      </c>
      <c r="D67" s="7">
        <v>8</v>
      </c>
      <c r="E67" s="12">
        <v>94.299999999999969</v>
      </c>
      <c r="F67" s="16">
        <v>34</v>
      </c>
      <c r="G67" s="17">
        <v>85</v>
      </c>
      <c r="H67" s="18">
        <v>27</v>
      </c>
      <c r="I67" s="16">
        <v>6</v>
      </c>
      <c r="J67" s="21">
        <v>73.230000000000018</v>
      </c>
      <c r="K67" s="26">
        <v>34</v>
      </c>
      <c r="L67" s="27">
        <v>76</v>
      </c>
      <c r="M67" s="28">
        <v>15</v>
      </c>
      <c r="N67" s="26">
        <v>7</v>
      </c>
      <c r="O67" s="31">
        <v>85.28000000000003</v>
      </c>
    </row>
    <row r="68" spans="1:15">
      <c r="A68" s="7">
        <v>33</v>
      </c>
      <c r="B68" s="8">
        <v>63</v>
      </c>
      <c r="C68" s="9">
        <v>5</v>
      </c>
      <c r="D68" s="7">
        <v>8</v>
      </c>
      <c r="E68" s="12">
        <v>94.769999999999968</v>
      </c>
      <c r="F68" s="16">
        <v>33</v>
      </c>
      <c r="G68" s="17">
        <v>84</v>
      </c>
      <c r="H68" s="18">
        <v>26</v>
      </c>
      <c r="I68" s="16">
        <v>6</v>
      </c>
      <c r="J68" s="21">
        <v>74.65000000000002</v>
      </c>
      <c r="K68" s="26">
        <v>33</v>
      </c>
      <c r="L68" s="27">
        <v>75</v>
      </c>
      <c r="M68" s="28">
        <v>14</v>
      </c>
      <c r="N68" s="26">
        <v>7</v>
      </c>
      <c r="O68" s="31">
        <v>86.140000000000029</v>
      </c>
    </row>
    <row r="69" spans="1:15">
      <c r="A69" s="7">
        <v>32</v>
      </c>
      <c r="B69" s="8">
        <v>62</v>
      </c>
      <c r="C69" s="9">
        <v>5</v>
      </c>
      <c r="D69" s="7">
        <v>8</v>
      </c>
      <c r="E69" s="12">
        <v>95.239999999999966</v>
      </c>
      <c r="F69" s="16">
        <v>32</v>
      </c>
      <c r="G69" s="17">
        <v>84</v>
      </c>
      <c r="H69" s="18">
        <v>25</v>
      </c>
      <c r="I69" s="16">
        <v>6</v>
      </c>
      <c r="J69" s="21">
        <v>76.070000000000022</v>
      </c>
      <c r="K69" s="26">
        <v>32</v>
      </c>
      <c r="L69" s="27">
        <v>74</v>
      </c>
      <c r="M69" s="28">
        <v>13</v>
      </c>
      <c r="N69" s="26">
        <v>7</v>
      </c>
      <c r="O69" s="31">
        <v>87.000000000000028</v>
      </c>
    </row>
    <row r="70" spans="1:15">
      <c r="A70" s="7">
        <v>31</v>
      </c>
      <c r="B70" s="8">
        <v>61</v>
      </c>
      <c r="C70" s="9">
        <v>5</v>
      </c>
      <c r="D70" s="7">
        <v>8</v>
      </c>
      <c r="E70" s="12">
        <v>95.709999999999965</v>
      </c>
      <c r="F70" s="16">
        <v>31</v>
      </c>
      <c r="G70" s="17">
        <v>83</v>
      </c>
      <c r="H70" s="18">
        <v>23</v>
      </c>
      <c r="I70" s="16">
        <v>6</v>
      </c>
      <c r="J70" s="21">
        <v>77.490000000000023</v>
      </c>
      <c r="K70" s="26">
        <v>31</v>
      </c>
      <c r="L70" s="27">
        <v>73</v>
      </c>
      <c r="M70" s="28">
        <v>13</v>
      </c>
      <c r="N70" s="26">
        <v>7</v>
      </c>
      <c r="O70" s="31">
        <v>87.860000000000028</v>
      </c>
    </row>
    <row r="71" spans="1:15">
      <c r="A71" s="7">
        <v>30</v>
      </c>
      <c r="B71" s="8">
        <v>60</v>
      </c>
      <c r="C71" s="9">
        <v>4</v>
      </c>
      <c r="D71" s="7">
        <v>8</v>
      </c>
      <c r="E71" s="12">
        <v>96.179999999999964</v>
      </c>
      <c r="F71" s="16">
        <v>30</v>
      </c>
      <c r="G71" s="17">
        <v>82</v>
      </c>
      <c r="H71" s="18">
        <v>22</v>
      </c>
      <c r="I71" s="16">
        <v>7</v>
      </c>
      <c r="J71" s="21">
        <v>78.690000000000026</v>
      </c>
      <c r="K71" s="26">
        <v>30</v>
      </c>
      <c r="L71" s="27">
        <v>73</v>
      </c>
      <c r="M71" s="28">
        <v>12</v>
      </c>
      <c r="N71" s="26">
        <v>7</v>
      </c>
      <c r="O71" s="31">
        <v>88.720000000000027</v>
      </c>
    </row>
    <row r="72" spans="1:15">
      <c r="A72" s="7">
        <v>29</v>
      </c>
      <c r="B72" s="8">
        <v>59</v>
      </c>
      <c r="C72" s="9">
        <v>4</v>
      </c>
      <c r="D72" s="7">
        <v>8</v>
      </c>
      <c r="E72" s="12">
        <v>96.649999999999963</v>
      </c>
      <c r="F72" s="16">
        <v>29</v>
      </c>
      <c r="G72" s="17">
        <v>81</v>
      </c>
      <c r="H72" s="18">
        <v>21</v>
      </c>
      <c r="I72" s="16">
        <v>7</v>
      </c>
      <c r="J72" s="21">
        <v>79.890000000000029</v>
      </c>
      <c r="K72" s="26">
        <v>29</v>
      </c>
      <c r="L72" s="27">
        <v>72</v>
      </c>
      <c r="M72" s="28">
        <v>11</v>
      </c>
      <c r="N72" s="26">
        <v>7</v>
      </c>
      <c r="O72" s="31">
        <v>89.580000000000027</v>
      </c>
    </row>
    <row r="73" spans="1:15">
      <c r="A73" s="7">
        <v>28</v>
      </c>
      <c r="B73" s="8">
        <v>58</v>
      </c>
      <c r="C73" s="9">
        <v>3</v>
      </c>
      <c r="D73" s="7">
        <v>9</v>
      </c>
      <c r="E73" s="12">
        <v>96.779999999999959</v>
      </c>
      <c r="F73" s="16">
        <v>28</v>
      </c>
      <c r="G73" s="17">
        <v>80</v>
      </c>
      <c r="H73" s="18">
        <v>20</v>
      </c>
      <c r="I73" s="16">
        <v>7</v>
      </c>
      <c r="J73" s="21">
        <v>81.090000000000032</v>
      </c>
      <c r="K73" s="26">
        <v>28</v>
      </c>
      <c r="L73" s="27">
        <v>71</v>
      </c>
      <c r="M73" s="28">
        <v>10</v>
      </c>
      <c r="N73" s="26">
        <v>8</v>
      </c>
      <c r="O73" s="31">
        <v>90.460000000000022</v>
      </c>
    </row>
    <row r="74" spans="1:15">
      <c r="A74" s="7">
        <v>27</v>
      </c>
      <c r="B74" s="8">
        <v>57</v>
      </c>
      <c r="C74" s="9">
        <v>3</v>
      </c>
      <c r="D74" s="7">
        <v>9</v>
      </c>
      <c r="E74" s="12">
        <v>96.909999999999954</v>
      </c>
      <c r="F74" s="16">
        <v>27</v>
      </c>
      <c r="G74" s="17">
        <v>80</v>
      </c>
      <c r="H74" s="18">
        <v>18</v>
      </c>
      <c r="I74" s="16">
        <v>7</v>
      </c>
      <c r="J74" s="21">
        <v>82.290000000000035</v>
      </c>
      <c r="K74" s="26">
        <v>27</v>
      </c>
      <c r="L74" s="27">
        <v>70</v>
      </c>
      <c r="M74" s="28">
        <v>9</v>
      </c>
      <c r="N74" s="26">
        <v>8</v>
      </c>
      <c r="O74" s="31">
        <v>91.340000000000018</v>
      </c>
    </row>
    <row r="75" spans="1:15">
      <c r="A75" s="7">
        <v>26</v>
      </c>
      <c r="B75" s="8">
        <v>56</v>
      </c>
      <c r="C75" s="9">
        <v>3</v>
      </c>
      <c r="D75" s="7">
        <v>9</v>
      </c>
      <c r="E75" s="12">
        <v>97.039999999999949</v>
      </c>
      <c r="F75" s="16">
        <v>26</v>
      </c>
      <c r="G75" s="17">
        <v>79</v>
      </c>
      <c r="H75" s="18">
        <v>17</v>
      </c>
      <c r="I75" s="16">
        <v>7</v>
      </c>
      <c r="J75" s="21">
        <v>83.490000000000038</v>
      </c>
      <c r="K75" s="26">
        <v>26</v>
      </c>
      <c r="L75" s="27">
        <v>69</v>
      </c>
      <c r="M75" s="28">
        <v>8</v>
      </c>
      <c r="N75" s="26">
        <v>8</v>
      </c>
      <c r="O75" s="31">
        <v>92.220000000000013</v>
      </c>
    </row>
    <row r="76" spans="1:15">
      <c r="A76" s="7">
        <v>25</v>
      </c>
      <c r="B76" s="8">
        <v>55</v>
      </c>
      <c r="C76" s="9">
        <v>3</v>
      </c>
      <c r="D76" s="7">
        <v>9</v>
      </c>
      <c r="E76" s="12">
        <v>97.169999999999945</v>
      </c>
      <c r="F76" s="16">
        <v>25</v>
      </c>
      <c r="G76" s="17">
        <v>78</v>
      </c>
      <c r="H76" s="18">
        <v>16</v>
      </c>
      <c r="I76" s="16">
        <v>7</v>
      </c>
      <c r="J76" s="21">
        <v>84.69000000000004</v>
      </c>
      <c r="K76" s="26">
        <v>25</v>
      </c>
      <c r="L76" s="27">
        <v>68</v>
      </c>
      <c r="M76" s="28">
        <v>7</v>
      </c>
      <c r="N76" s="26">
        <v>8</v>
      </c>
      <c r="O76" s="31">
        <v>93.100000000000009</v>
      </c>
    </row>
    <row r="77" spans="1:15">
      <c r="A77" s="7">
        <v>24</v>
      </c>
      <c r="B77" s="8">
        <v>54</v>
      </c>
      <c r="C77" s="9">
        <v>3</v>
      </c>
      <c r="D77" s="7">
        <v>9</v>
      </c>
      <c r="E77" s="12">
        <v>97.29999999999994</v>
      </c>
      <c r="F77" s="16">
        <v>24</v>
      </c>
      <c r="G77" s="17">
        <v>77</v>
      </c>
      <c r="H77" s="18">
        <v>15</v>
      </c>
      <c r="I77" s="16">
        <v>7</v>
      </c>
      <c r="J77" s="21">
        <v>85.890000000000043</v>
      </c>
      <c r="K77" s="26">
        <v>24</v>
      </c>
      <c r="L77" s="27">
        <v>67</v>
      </c>
      <c r="M77" s="28">
        <v>6</v>
      </c>
      <c r="N77" s="26">
        <v>8</v>
      </c>
      <c r="O77" s="31">
        <v>93.98</v>
      </c>
    </row>
    <row r="78" spans="1:15">
      <c r="A78" s="7">
        <v>23</v>
      </c>
      <c r="B78" s="8">
        <v>53</v>
      </c>
      <c r="C78" s="9">
        <v>3</v>
      </c>
      <c r="D78" s="7">
        <v>9</v>
      </c>
      <c r="E78" s="12">
        <v>97.429999999999936</v>
      </c>
      <c r="F78" s="16">
        <v>23</v>
      </c>
      <c r="G78" s="17">
        <v>76</v>
      </c>
      <c r="H78" s="18">
        <v>14</v>
      </c>
      <c r="I78" s="16">
        <v>7</v>
      </c>
      <c r="J78" s="21">
        <v>87.090000000000046</v>
      </c>
      <c r="K78" s="26">
        <v>23</v>
      </c>
      <c r="L78" s="27">
        <v>66</v>
      </c>
      <c r="M78" s="28">
        <v>6</v>
      </c>
      <c r="N78" s="26">
        <v>8</v>
      </c>
      <c r="O78" s="31">
        <v>94.86</v>
      </c>
    </row>
    <row r="79" spans="1:15">
      <c r="A79" s="7">
        <v>22</v>
      </c>
      <c r="B79" s="8">
        <v>52</v>
      </c>
      <c r="C79" s="9">
        <v>3</v>
      </c>
      <c r="D79" s="7">
        <v>9</v>
      </c>
      <c r="E79" s="12">
        <v>97.559999999999931</v>
      </c>
      <c r="F79" s="16">
        <v>22</v>
      </c>
      <c r="G79" s="17">
        <v>75</v>
      </c>
      <c r="H79" s="18">
        <v>12</v>
      </c>
      <c r="I79" s="16">
        <v>7</v>
      </c>
      <c r="J79" s="21">
        <v>88.290000000000049</v>
      </c>
      <c r="K79" s="26">
        <v>22</v>
      </c>
      <c r="L79" s="27">
        <v>65</v>
      </c>
      <c r="M79" s="28">
        <v>5</v>
      </c>
      <c r="N79" s="26">
        <v>8</v>
      </c>
      <c r="O79" s="31">
        <v>95.74</v>
      </c>
    </row>
    <row r="80" spans="1:15">
      <c r="A80" s="7">
        <v>21</v>
      </c>
      <c r="B80" s="8">
        <v>51</v>
      </c>
      <c r="C80" s="9">
        <v>2</v>
      </c>
      <c r="D80" s="7">
        <v>9</v>
      </c>
      <c r="E80" s="12">
        <v>97.689999999999927</v>
      </c>
      <c r="F80" s="16">
        <v>21</v>
      </c>
      <c r="G80" s="17">
        <v>75</v>
      </c>
      <c r="H80" s="18">
        <v>11</v>
      </c>
      <c r="I80" s="16">
        <v>7</v>
      </c>
      <c r="J80" s="21">
        <v>89.490000000000052</v>
      </c>
      <c r="K80" s="26">
        <v>21</v>
      </c>
      <c r="L80" s="27">
        <v>64</v>
      </c>
      <c r="M80" s="28">
        <v>4</v>
      </c>
      <c r="N80" s="26">
        <v>8</v>
      </c>
      <c r="O80" s="31">
        <v>96.61999999999999</v>
      </c>
    </row>
    <row r="81" spans="1:15">
      <c r="A81" s="7">
        <v>20</v>
      </c>
      <c r="B81" s="8">
        <v>50</v>
      </c>
      <c r="C81" s="9">
        <v>2</v>
      </c>
      <c r="D81" s="7">
        <v>9</v>
      </c>
      <c r="E81" s="12">
        <v>97.819999999999922</v>
      </c>
      <c r="F81" s="16">
        <v>20</v>
      </c>
      <c r="G81" s="17">
        <v>74</v>
      </c>
      <c r="H81" s="18">
        <v>10</v>
      </c>
      <c r="I81" s="16">
        <v>8</v>
      </c>
      <c r="J81" s="21">
        <v>90.490000000000052</v>
      </c>
      <c r="K81" s="26">
        <v>20</v>
      </c>
      <c r="L81" s="27">
        <v>64</v>
      </c>
      <c r="M81" s="28">
        <v>3</v>
      </c>
      <c r="N81" s="26">
        <v>9</v>
      </c>
      <c r="O81" s="31">
        <v>96.8</v>
      </c>
    </row>
    <row r="82" spans="1:15">
      <c r="A82" s="7">
        <v>19</v>
      </c>
      <c r="B82" s="8">
        <v>49</v>
      </c>
      <c r="C82" s="9">
        <v>2</v>
      </c>
      <c r="D82" s="7">
        <v>9</v>
      </c>
      <c r="E82" s="12">
        <v>97.949999999999918</v>
      </c>
      <c r="F82" s="16">
        <v>19</v>
      </c>
      <c r="G82" s="17">
        <v>73</v>
      </c>
      <c r="H82" s="18">
        <v>9</v>
      </c>
      <c r="I82" s="16">
        <v>8</v>
      </c>
      <c r="J82" s="21">
        <v>91.490000000000052</v>
      </c>
      <c r="K82" s="26">
        <v>19</v>
      </c>
      <c r="L82" s="27">
        <v>63</v>
      </c>
      <c r="M82" s="28">
        <v>3</v>
      </c>
      <c r="N82" s="26">
        <v>9</v>
      </c>
      <c r="O82" s="31">
        <v>96.98</v>
      </c>
    </row>
    <row r="83" spans="1:15">
      <c r="A83" s="7">
        <v>18</v>
      </c>
      <c r="B83" s="8">
        <v>48</v>
      </c>
      <c r="C83" s="9">
        <v>2</v>
      </c>
      <c r="D83" s="7">
        <v>9</v>
      </c>
      <c r="E83" s="12">
        <v>98.079999999999913</v>
      </c>
      <c r="F83" s="16">
        <v>18</v>
      </c>
      <c r="G83" s="17">
        <v>72</v>
      </c>
      <c r="H83" s="18">
        <v>8</v>
      </c>
      <c r="I83" s="16">
        <v>8</v>
      </c>
      <c r="J83" s="21">
        <v>92.490000000000052</v>
      </c>
      <c r="K83" s="26">
        <v>18</v>
      </c>
      <c r="L83" s="27">
        <v>62</v>
      </c>
      <c r="M83" s="28">
        <v>3</v>
      </c>
      <c r="N83" s="26">
        <v>9</v>
      </c>
      <c r="O83" s="31">
        <v>97.160000000000011</v>
      </c>
    </row>
    <row r="84" spans="1:15">
      <c r="A84" s="7">
        <v>17</v>
      </c>
      <c r="B84" s="8">
        <v>47</v>
      </c>
      <c r="C84" s="9">
        <v>2</v>
      </c>
      <c r="D84" s="7">
        <v>9</v>
      </c>
      <c r="E84" s="12">
        <v>98.209999999999908</v>
      </c>
      <c r="F84" s="16">
        <v>17</v>
      </c>
      <c r="G84" s="17">
        <v>71</v>
      </c>
      <c r="H84" s="18">
        <v>7</v>
      </c>
      <c r="I84" s="16">
        <v>8</v>
      </c>
      <c r="J84" s="21">
        <v>93.490000000000052</v>
      </c>
      <c r="K84" s="26">
        <v>17</v>
      </c>
      <c r="L84" s="27">
        <v>61</v>
      </c>
      <c r="M84" s="28">
        <v>3</v>
      </c>
      <c r="N84" s="26">
        <v>9</v>
      </c>
      <c r="O84" s="31">
        <v>97.340000000000018</v>
      </c>
    </row>
    <row r="85" spans="1:15">
      <c r="A85" s="7">
        <v>16</v>
      </c>
      <c r="B85" s="8">
        <v>46</v>
      </c>
      <c r="C85" s="9">
        <v>2</v>
      </c>
      <c r="D85" s="7">
        <v>9</v>
      </c>
      <c r="E85" s="12">
        <v>98.339999999999904</v>
      </c>
      <c r="F85" s="16">
        <v>16</v>
      </c>
      <c r="G85" s="17">
        <v>70</v>
      </c>
      <c r="H85" s="18">
        <v>6</v>
      </c>
      <c r="I85" s="16">
        <v>8</v>
      </c>
      <c r="J85" s="21">
        <v>94.490000000000052</v>
      </c>
      <c r="K85" s="26">
        <v>16</v>
      </c>
      <c r="L85" s="27">
        <v>60</v>
      </c>
      <c r="M85" s="28">
        <v>3</v>
      </c>
      <c r="N85" s="26">
        <v>9</v>
      </c>
      <c r="O85" s="31">
        <v>97.520000000000024</v>
      </c>
    </row>
    <row r="86" spans="1:15">
      <c r="A86" s="7">
        <v>15</v>
      </c>
      <c r="B86" s="8">
        <v>44</v>
      </c>
      <c r="C86" s="9">
        <v>2</v>
      </c>
      <c r="D86" s="7">
        <v>9</v>
      </c>
      <c r="E86" s="12">
        <v>98.469999999999899</v>
      </c>
      <c r="F86" s="16">
        <v>15</v>
      </c>
      <c r="G86" s="17">
        <v>70</v>
      </c>
      <c r="H86" s="18">
        <v>5</v>
      </c>
      <c r="I86" s="16">
        <v>8</v>
      </c>
      <c r="J86" s="21">
        <v>95.490000000000052</v>
      </c>
      <c r="K86" s="26">
        <v>15</v>
      </c>
      <c r="L86" s="27">
        <v>59</v>
      </c>
      <c r="M86" s="28">
        <v>2</v>
      </c>
      <c r="N86" s="26">
        <v>9</v>
      </c>
      <c r="O86" s="31">
        <v>97.700000000000031</v>
      </c>
    </row>
    <row r="87" spans="1:15">
      <c r="A87" s="7">
        <v>14</v>
      </c>
      <c r="B87" s="8">
        <v>43</v>
      </c>
      <c r="C87" s="9">
        <v>1</v>
      </c>
      <c r="D87" s="7">
        <v>9</v>
      </c>
      <c r="E87" s="12">
        <v>98.599999999999895</v>
      </c>
      <c r="F87" s="16">
        <v>14</v>
      </c>
      <c r="G87" s="17">
        <v>69</v>
      </c>
      <c r="H87" s="18">
        <v>4</v>
      </c>
      <c r="I87" s="16">
        <v>8</v>
      </c>
      <c r="J87" s="21">
        <v>96.490000000000052</v>
      </c>
      <c r="K87" s="26">
        <v>14</v>
      </c>
      <c r="L87" s="27">
        <v>58</v>
      </c>
      <c r="M87" s="28">
        <v>2</v>
      </c>
      <c r="N87" s="26">
        <v>9</v>
      </c>
      <c r="O87" s="31">
        <v>97.880000000000038</v>
      </c>
    </row>
    <row r="88" spans="1:15">
      <c r="A88" s="7">
        <v>13</v>
      </c>
      <c r="B88" s="8">
        <v>42</v>
      </c>
      <c r="C88" s="9">
        <v>1</v>
      </c>
      <c r="D88" s="7">
        <v>9</v>
      </c>
      <c r="E88" s="12">
        <v>98.72999999999989</v>
      </c>
      <c r="F88" s="16">
        <v>13</v>
      </c>
      <c r="G88" s="17">
        <v>68</v>
      </c>
      <c r="H88" s="18">
        <v>3</v>
      </c>
      <c r="I88" s="16">
        <v>9</v>
      </c>
      <c r="J88" s="21">
        <v>96.760000000000048</v>
      </c>
      <c r="K88" s="26">
        <v>13</v>
      </c>
      <c r="L88" s="27">
        <v>57</v>
      </c>
      <c r="M88" s="28">
        <v>2</v>
      </c>
      <c r="N88" s="26">
        <v>9</v>
      </c>
      <c r="O88" s="31">
        <v>98.060000000000045</v>
      </c>
    </row>
    <row r="89" spans="1:15">
      <c r="A89" s="7">
        <v>12</v>
      </c>
      <c r="B89" s="8">
        <v>41</v>
      </c>
      <c r="C89" s="9">
        <v>1</v>
      </c>
      <c r="D89" s="7">
        <v>9</v>
      </c>
      <c r="E89" s="12">
        <v>98.859999999999886</v>
      </c>
      <c r="F89" s="16">
        <v>12</v>
      </c>
      <c r="G89" s="17">
        <v>67</v>
      </c>
      <c r="H89" s="18">
        <v>3</v>
      </c>
      <c r="I89" s="16">
        <v>9</v>
      </c>
      <c r="J89" s="21">
        <v>97.030000000000044</v>
      </c>
      <c r="K89" s="26">
        <v>12</v>
      </c>
      <c r="L89" s="27">
        <v>56</v>
      </c>
      <c r="M89" s="28">
        <v>2</v>
      </c>
      <c r="N89" s="26">
        <v>9</v>
      </c>
      <c r="O89" s="31">
        <v>98.240000000000052</v>
      </c>
    </row>
    <row r="90" spans="1:15">
      <c r="A90" s="7">
        <v>11</v>
      </c>
      <c r="B90" s="8">
        <v>40</v>
      </c>
      <c r="C90" s="9">
        <v>1</v>
      </c>
      <c r="D90" s="7">
        <v>9</v>
      </c>
      <c r="E90" s="12">
        <v>98.989999999999881</v>
      </c>
      <c r="F90" s="16">
        <v>11</v>
      </c>
      <c r="G90" s="17">
        <v>66</v>
      </c>
      <c r="H90" s="18">
        <v>3</v>
      </c>
      <c r="I90" s="16">
        <v>9</v>
      </c>
      <c r="J90" s="21">
        <v>97.30000000000004</v>
      </c>
      <c r="K90" s="26">
        <v>11</v>
      </c>
      <c r="L90" s="27">
        <v>55</v>
      </c>
      <c r="M90" s="28">
        <v>2</v>
      </c>
      <c r="N90" s="26">
        <v>9</v>
      </c>
      <c r="O90" s="31">
        <v>98.420000000000059</v>
      </c>
    </row>
    <row r="91" spans="1:15">
      <c r="A91" s="7">
        <v>10</v>
      </c>
      <c r="B91" s="8">
        <v>39</v>
      </c>
      <c r="C91" s="9">
        <v>1</v>
      </c>
      <c r="D91" s="7">
        <v>9</v>
      </c>
      <c r="E91" s="12">
        <v>99.119999999999877</v>
      </c>
      <c r="F91" s="16">
        <v>10</v>
      </c>
      <c r="G91" s="17">
        <v>65</v>
      </c>
      <c r="H91" s="18">
        <v>3</v>
      </c>
      <c r="I91" s="16">
        <v>9</v>
      </c>
      <c r="J91" s="21">
        <v>97.570000000000036</v>
      </c>
      <c r="K91" s="26">
        <v>10</v>
      </c>
      <c r="L91" s="27">
        <v>55</v>
      </c>
      <c r="M91" s="28">
        <v>1</v>
      </c>
      <c r="N91" s="26">
        <v>9</v>
      </c>
      <c r="O91" s="31">
        <v>98.600000000000065</v>
      </c>
    </row>
    <row r="92" spans="1:15">
      <c r="A92" s="7">
        <v>9</v>
      </c>
      <c r="B92" s="8">
        <v>38</v>
      </c>
      <c r="C92" s="9">
        <v>1</v>
      </c>
      <c r="D92" s="7">
        <v>9</v>
      </c>
      <c r="E92" s="12">
        <v>99.249999999999872</v>
      </c>
      <c r="F92" s="16">
        <v>9</v>
      </c>
      <c r="G92" s="17">
        <v>65</v>
      </c>
      <c r="H92" s="18">
        <v>2</v>
      </c>
      <c r="I92" s="16">
        <v>9</v>
      </c>
      <c r="J92" s="21">
        <v>97.840000000000032</v>
      </c>
      <c r="K92" s="26">
        <v>9</v>
      </c>
      <c r="L92" s="27">
        <v>54</v>
      </c>
      <c r="M92" s="28">
        <v>1</v>
      </c>
      <c r="N92" s="26">
        <v>9</v>
      </c>
      <c r="O92" s="31">
        <v>98.780000000000072</v>
      </c>
    </row>
    <row r="93" spans="1:15">
      <c r="A93" s="7">
        <v>8</v>
      </c>
      <c r="B93" s="8">
        <v>37</v>
      </c>
      <c r="C93" s="9">
        <v>1</v>
      </c>
      <c r="D93" s="7">
        <v>9</v>
      </c>
      <c r="E93" s="12">
        <v>99.379999999999868</v>
      </c>
      <c r="F93" s="16">
        <v>8</v>
      </c>
      <c r="G93" s="17">
        <v>64</v>
      </c>
      <c r="H93" s="18">
        <v>2</v>
      </c>
      <c r="I93" s="16">
        <v>9</v>
      </c>
      <c r="J93" s="21">
        <v>98.110000000000028</v>
      </c>
      <c r="K93" s="26">
        <v>8</v>
      </c>
      <c r="L93" s="27">
        <v>53</v>
      </c>
      <c r="M93" s="28">
        <v>1</v>
      </c>
      <c r="N93" s="26">
        <v>9</v>
      </c>
      <c r="O93" s="31">
        <v>98.960000000000079</v>
      </c>
    </row>
    <row r="94" spans="1:15">
      <c r="A94" s="7">
        <v>7</v>
      </c>
      <c r="B94" s="8">
        <v>36</v>
      </c>
      <c r="C94" s="9">
        <v>1</v>
      </c>
      <c r="D94" s="7">
        <v>9</v>
      </c>
      <c r="E94" s="12">
        <v>99.509999999999863</v>
      </c>
      <c r="F94" s="16">
        <v>7</v>
      </c>
      <c r="G94" s="17">
        <v>63</v>
      </c>
      <c r="H94" s="18">
        <v>2</v>
      </c>
      <c r="I94" s="16">
        <v>9</v>
      </c>
      <c r="J94" s="21">
        <v>98.380000000000024</v>
      </c>
      <c r="K94" s="26">
        <v>7</v>
      </c>
      <c r="L94" s="27">
        <v>52</v>
      </c>
      <c r="M94" s="28">
        <v>1</v>
      </c>
      <c r="N94" s="26">
        <v>9</v>
      </c>
      <c r="O94" s="31">
        <v>99.140000000000086</v>
      </c>
    </row>
    <row r="95" spans="1:15">
      <c r="A95" s="7">
        <v>6</v>
      </c>
      <c r="B95" s="8">
        <v>35</v>
      </c>
      <c r="C95" s="9">
        <v>0</v>
      </c>
      <c r="D95" s="7">
        <v>9</v>
      </c>
      <c r="E95" s="12">
        <v>99.639999999999858</v>
      </c>
      <c r="F95" s="16">
        <v>6</v>
      </c>
      <c r="G95" s="17">
        <v>62</v>
      </c>
      <c r="H95" s="18">
        <v>1</v>
      </c>
      <c r="I95" s="16">
        <v>9</v>
      </c>
      <c r="J95" s="21">
        <v>98.65000000000002</v>
      </c>
      <c r="K95" s="26">
        <v>6</v>
      </c>
      <c r="L95" s="27">
        <v>51</v>
      </c>
      <c r="M95" s="28">
        <v>1</v>
      </c>
      <c r="N95" s="26">
        <v>9</v>
      </c>
      <c r="O95" s="31">
        <v>99.320000000000093</v>
      </c>
    </row>
    <row r="96" spans="1:15">
      <c r="A96" s="7">
        <v>5</v>
      </c>
      <c r="B96" s="8">
        <v>34</v>
      </c>
      <c r="C96" s="9">
        <v>0</v>
      </c>
      <c r="D96" s="7">
        <v>9</v>
      </c>
      <c r="E96" s="12">
        <v>99.769999999999854</v>
      </c>
      <c r="F96" s="16">
        <v>5</v>
      </c>
      <c r="G96" s="17">
        <v>61</v>
      </c>
      <c r="H96" s="18">
        <v>1</v>
      </c>
      <c r="I96" s="16">
        <v>9</v>
      </c>
      <c r="J96" s="21">
        <v>98.920000000000016</v>
      </c>
      <c r="K96" s="26">
        <v>5</v>
      </c>
      <c r="L96" s="27">
        <v>50</v>
      </c>
      <c r="M96" s="28">
        <v>1</v>
      </c>
      <c r="N96" s="26">
        <v>9</v>
      </c>
      <c r="O96" s="31">
        <v>99.500000000000099</v>
      </c>
    </row>
    <row r="97" spans="1:15">
      <c r="A97" s="7">
        <v>4</v>
      </c>
      <c r="B97" s="8">
        <v>33</v>
      </c>
      <c r="C97" s="9">
        <v>0</v>
      </c>
      <c r="D97" s="7">
        <v>9</v>
      </c>
      <c r="E97" s="12">
        <v>99.899999999999849</v>
      </c>
      <c r="F97" s="16">
        <v>4</v>
      </c>
      <c r="G97" s="17">
        <v>60</v>
      </c>
      <c r="H97" s="18">
        <v>1</v>
      </c>
      <c r="I97" s="16">
        <v>9</v>
      </c>
      <c r="J97" s="21">
        <v>99.190000000000012</v>
      </c>
      <c r="K97" s="26">
        <v>4</v>
      </c>
      <c r="L97" s="27">
        <v>49</v>
      </c>
      <c r="M97" s="28">
        <v>0</v>
      </c>
      <c r="N97" s="26">
        <v>9</v>
      </c>
      <c r="O97" s="31">
        <v>99.680000000000106</v>
      </c>
    </row>
    <row r="98" spans="1:15">
      <c r="A98" s="7">
        <v>3</v>
      </c>
      <c r="B98" s="8">
        <v>32</v>
      </c>
      <c r="C98" s="9">
        <v>0</v>
      </c>
      <c r="D98" s="7">
        <v>9</v>
      </c>
      <c r="E98" s="12">
        <v>100</v>
      </c>
      <c r="F98" s="16">
        <v>3</v>
      </c>
      <c r="G98" s="17">
        <v>60</v>
      </c>
      <c r="H98" s="18">
        <v>1</v>
      </c>
      <c r="I98" s="16">
        <v>9</v>
      </c>
      <c r="J98" s="21">
        <v>99.460000000000008</v>
      </c>
      <c r="K98" s="26">
        <v>3</v>
      </c>
      <c r="L98" s="27">
        <v>48</v>
      </c>
      <c r="M98" s="28">
        <v>0</v>
      </c>
      <c r="N98" s="26">
        <v>9</v>
      </c>
      <c r="O98" s="31">
        <v>99.860000000000113</v>
      </c>
    </row>
    <row r="99" spans="1:15">
      <c r="A99" s="7">
        <v>2</v>
      </c>
      <c r="B99" s="8">
        <v>31</v>
      </c>
      <c r="C99" s="9">
        <v>0</v>
      </c>
      <c r="D99" s="7">
        <v>9</v>
      </c>
      <c r="E99" s="12">
        <v>100</v>
      </c>
      <c r="F99" s="16">
        <v>2</v>
      </c>
      <c r="G99" s="17">
        <v>59</v>
      </c>
      <c r="H99" s="18">
        <v>0</v>
      </c>
      <c r="I99" s="16">
        <v>9</v>
      </c>
      <c r="J99" s="21">
        <v>99.73</v>
      </c>
      <c r="K99" s="26">
        <v>2</v>
      </c>
      <c r="L99" s="27">
        <v>47</v>
      </c>
      <c r="M99" s="28">
        <v>0</v>
      </c>
      <c r="N99" s="26">
        <v>9</v>
      </c>
      <c r="O99" s="31">
        <v>100</v>
      </c>
    </row>
    <row r="100" spans="1:15">
      <c r="A100" s="7">
        <v>0</v>
      </c>
      <c r="B100" s="8">
        <v>29</v>
      </c>
      <c r="C100" s="9">
        <v>0</v>
      </c>
      <c r="D100" s="7">
        <v>9</v>
      </c>
      <c r="E100" s="12">
        <v>100</v>
      </c>
      <c r="F100" s="16">
        <v>0</v>
      </c>
      <c r="G100" s="17">
        <v>57</v>
      </c>
      <c r="H100" s="18">
        <v>0</v>
      </c>
      <c r="I100" s="16">
        <v>9</v>
      </c>
      <c r="J100" s="21">
        <v>100</v>
      </c>
      <c r="K100" s="26">
        <v>0</v>
      </c>
      <c r="L100" s="27">
        <v>46</v>
      </c>
      <c r="M100" s="28">
        <v>0</v>
      </c>
      <c r="N100" s="26">
        <v>9</v>
      </c>
      <c r="O100" s="31">
        <v>100</v>
      </c>
    </row>
  </sheetData>
  <sheetProtection algorithmName="SHA-512" hashValue="p4VLuIvNsBR90RU7+ODoRiyeESMJ0MepB6NjFsU9AquMqS1sF67vVgih8JCep1UuqbI9O8QrczFb14FFbK6vMA==" saltValue="P+9HLzdomRT012lwIlJBmg==" spinCount="100000" sheet="1" objects="1" scenarios="1"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109"/>
  <sheetViews>
    <sheetView showGridLines="0" workbookViewId="0">
      <pane xSplit="2" ySplit="8" topLeftCell="C38" activePane="bottomRight" state="frozen"/>
      <selection pane="topRight" activeCell="C1" sqref="C1"/>
      <selection pane="bottomLeft" activeCell="A9" sqref="A9"/>
      <selection pane="bottomRight" activeCell="H42" sqref="H42"/>
    </sheetView>
  </sheetViews>
  <sheetFormatPr defaultRowHeight="16.5"/>
  <sheetData>
    <row r="1" spans="1:16">
      <c r="A1" s="312" t="s">
        <v>527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266"/>
    </row>
    <row r="2" spans="1:16">
      <c r="A2" s="313" t="s">
        <v>528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P2" s="188">
        <v>20131226</v>
      </c>
    </row>
    <row r="3" spans="1:16">
      <c r="A3" s="314" t="s">
        <v>529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</row>
    <row r="4" spans="1:16">
      <c r="A4" s="314" t="s">
        <v>530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</row>
    <row r="5" spans="1:16">
      <c r="A5" s="314" t="s">
        <v>531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</row>
    <row r="6" spans="1:16">
      <c r="A6" s="314" t="s">
        <v>532</v>
      </c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</row>
    <row r="7" spans="1:16">
      <c r="A7" s="311" t="s">
        <v>533</v>
      </c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</row>
    <row r="8" spans="1:16">
      <c r="A8" s="267" t="s">
        <v>87</v>
      </c>
      <c r="B8" s="268" t="s">
        <v>534</v>
      </c>
      <c r="C8" s="268" t="s">
        <v>535</v>
      </c>
      <c r="D8" s="268" t="s">
        <v>536</v>
      </c>
      <c r="E8" s="268" t="s">
        <v>537</v>
      </c>
      <c r="F8" s="268" t="s">
        <v>41</v>
      </c>
      <c r="G8" s="268" t="s">
        <v>42</v>
      </c>
      <c r="H8" s="268" t="s">
        <v>89</v>
      </c>
      <c r="I8" s="268" t="s">
        <v>538</v>
      </c>
      <c r="J8" s="268" t="s">
        <v>143</v>
      </c>
      <c r="K8" s="268" t="s">
        <v>539</v>
      </c>
      <c r="L8" s="268" t="s">
        <v>540</v>
      </c>
      <c r="M8" s="268" t="s">
        <v>541</v>
      </c>
      <c r="N8" s="268" t="s">
        <v>542</v>
      </c>
    </row>
    <row r="9" spans="1:16">
      <c r="A9" s="269">
        <v>15</v>
      </c>
      <c r="B9" s="270">
        <v>9.2614215135011847E-5</v>
      </c>
      <c r="C9" s="271">
        <v>545</v>
      </c>
      <c r="D9" s="272">
        <v>504</v>
      </c>
      <c r="E9" s="271">
        <v>406</v>
      </c>
      <c r="F9" s="273">
        <v>542.09704399999998</v>
      </c>
      <c r="G9" s="273">
        <v>340.12779499999999</v>
      </c>
      <c r="H9" s="273">
        <v>497.31679500000001</v>
      </c>
      <c r="I9" s="273">
        <v>497.82799999999997</v>
      </c>
      <c r="J9" s="273">
        <v>543.88</v>
      </c>
      <c r="K9" s="273">
        <v>279.46050180000003</v>
      </c>
      <c r="L9" s="273">
        <v>478.44727949999998</v>
      </c>
      <c r="M9" s="273">
        <v>698.53321554770309</v>
      </c>
      <c r="N9" s="273">
        <v>696.23716957700799</v>
      </c>
    </row>
    <row r="10" spans="1:16">
      <c r="A10" s="269">
        <v>30</v>
      </c>
      <c r="B10" s="270">
        <v>1.8551204017794976E-4</v>
      </c>
      <c r="C10" s="271">
        <v>544</v>
      </c>
      <c r="D10" s="272">
        <v>503</v>
      </c>
      <c r="E10" s="271">
        <v>406</v>
      </c>
      <c r="F10" s="273">
        <v>541.20391100000006</v>
      </c>
      <c r="G10" s="273">
        <v>339.58124900000001</v>
      </c>
      <c r="H10" s="273">
        <v>496.54024900000002</v>
      </c>
      <c r="I10" s="273">
        <v>496.56799999999998</v>
      </c>
      <c r="J10" s="273">
        <v>542.6</v>
      </c>
      <c r="K10" s="273">
        <v>278.33080250000006</v>
      </c>
      <c r="L10" s="273">
        <v>477.70512489999999</v>
      </c>
      <c r="M10" s="273">
        <v>696.93283891082933</v>
      </c>
      <c r="N10" s="273">
        <v>695.11417492460146</v>
      </c>
    </row>
    <row r="11" spans="1:16">
      <c r="A11" s="269">
        <v>45</v>
      </c>
      <c r="B11" s="270">
        <v>2.7869353426179577E-4</v>
      </c>
      <c r="C11" s="271">
        <v>543</v>
      </c>
      <c r="D11" s="272">
        <v>503</v>
      </c>
      <c r="E11" s="271">
        <v>404</v>
      </c>
      <c r="F11" s="273">
        <v>541.09498899999994</v>
      </c>
      <c r="G11" s="273">
        <v>339.16459600000002</v>
      </c>
      <c r="H11" s="273">
        <v>495.94259599999998</v>
      </c>
      <c r="I11" s="273">
        <v>496.56799999999998</v>
      </c>
      <c r="J11" s="273">
        <v>542.50799999999992</v>
      </c>
      <c r="K11" s="273">
        <v>278.33043810000004</v>
      </c>
      <c r="L11" s="273">
        <v>477.13445959999996</v>
      </c>
      <c r="M11" s="273">
        <v>695.44498025358553</v>
      </c>
      <c r="N11" s="273">
        <v>694.38029584949015</v>
      </c>
    </row>
    <row r="12" spans="1:16">
      <c r="A12" s="269">
        <v>60</v>
      </c>
      <c r="B12" s="270">
        <v>3.7215875642103419E-4</v>
      </c>
      <c r="C12" s="271">
        <v>542</v>
      </c>
      <c r="D12" s="272">
        <v>502</v>
      </c>
      <c r="E12" s="271">
        <v>404</v>
      </c>
      <c r="F12" s="273">
        <v>540.10372099999995</v>
      </c>
      <c r="G12" s="273">
        <v>338.801086</v>
      </c>
      <c r="H12" s="273">
        <v>495.356086</v>
      </c>
      <c r="I12" s="273">
        <v>495.65499999999997</v>
      </c>
      <c r="J12" s="273">
        <v>541.85599999999999</v>
      </c>
      <c r="K12" s="273">
        <v>277.20072299999998</v>
      </c>
      <c r="L12" s="273">
        <v>476.56060859999997</v>
      </c>
      <c r="M12" s="273">
        <v>694.74606741573029</v>
      </c>
      <c r="N12" s="273">
        <v>693.50375091872161</v>
      </c>
    </row>
    <row r="13" spans="1:16">
      <c r="A13" s="269">
        <v>75</v>
      </c>
      <c r="B13" s="270">
        <v>4.6590776559197642E-4</v>
      </c>
      <c r="C13" s="271">
        <v>541</v>
      </c>
      <c r="D13" s="272">
        <v>502</v>
      </c>
      <c r="E13" s="271">
        <v>404</v>
      </c>
      <c r="F13" s="273">
        <v>539.69348600000001</v>
      </c>
      <c r="G13" s="273">
        <v>338.38169199999999</v>
      </c>
      <c r="H13" s="273">
        <v>494.80869200000001</v>
      </c>
      <c r="I13" s="273">
        <v>495.423</v>
      </c>
      <c r="J13" s="273">
        <v>540.904</v>
      </c>
      <c r="K13" s="273">
        <v>277.08089560000002</v>
      </c>
      <c r="L13" s="273">
        <v>476.03566919999992</v>
      </c>
      <c r="M13" s="273">
        <v>693.91304347826087</v>
      </c>
      <c r="N13" s="273">
        <v>693.00301594140456</v>
      </c>
    </row>
    <row r="14" spans="1:16">
      <c r="A14" s="269">
        <v>90</v>
      </c>
      <c r="B14" s="270">
        <v>5.5994062061308315E-4</v>
      </c>
      <c r="C14" s="271">
        <v>541</v>
      </c>
      <c r="D14" s="272">
        <v>501.5</v>
      </c>
      <c r="E14" s="271">
        <v>403</v>
      </c>
      <c r="F14" s="273">
        <v>539.20510100000001</v>
      </c>
      <c r="G14" s="273">
        <v>338.16813500000001</v>
      </c>
      <c r="H14" s="273">
        <v>494.48413499999998</v>
      </c>
      <c r="I14" s="273">
        <v>494.58300000000003</v>
      </c>
      <c r="J14" s="273">
        <v>540.6</v>
      </c>
      <c r="K14" s="273">
        <v>277.08071980000005</v>
      </c>
      <c r="L14" s="273">
        <v>475.73481349999997</v>
      </c>
      <c r="M14" s="273">
        <v>693.47940893029227</v>
      </c>
      <c r="N14" s="273">
        <v>692.25908372827803</v>
      </c>
    </row>
    <row r="15" spans="1:16">
      <c r="A15" s="269">
        <v>105</v>
      </c>
      <c r="B15" s="270">
        <v>6.5425738022528593E-4</v>
      </c>
      <c r="C15" s="271">
        <v>540</v>
      </c>
      <c r="D15" s="272">
        <v>501.5</v>
      </c>
      <c r="E15" s="271">
        <v>403</v>
      </c>
      <c r="F15" s="273">
        <v>538.96653500000002</v>
      </c>
      <c r="G15" s="273">
        <v>337.91199800000004</v>
      </c>
      <c r="H15" s="273">
        <v>494.112998</v>
      </c>
      <c r="I15" s="273">
        <v>494.39499999999998</v>
      </c>
      <c r="J15" s="273">
        <v>540.048</v>
      </c>
      <c r="K15" s="273">
        <v>277.08057030000003</v>
      </c>
      <c r="L15" s="273">
        <v>475.38419979999998</v>
      </c>
      <c r="M15" s="273">
        <v>692.96767662490629</v>
      </c>
      <c r="N15" s="273">
        <v>691.93629057939791</v>
      </c>
    </row>
    <row r="16" spans="1:16">
      <c r="A16" s="269">
        <v>120</v>
      </c>
      <c r="B16" s="270">
        <v>7.4885810307230615E-4</v>
      </c>
      <c r="C16" s="271">
        <v>540</v>
      </c>
      <c r="D16" s="272">
        <v>501</v>
      </c>
      <c r="E16" s="271">
        <v>403</v>
      </c>
      <c r="F16" s="273">
        <v>538.5693</v>
      </c>
      <c r="G16" s="273">
        <v>337.83863099999996</v>
      </c>
      <c r="H16" s="273">
        <v>493.98263099999997</v>
      </c>
      <c r="I16" s="273">
        <v>493.67099999999999</v>
      </c>
      <c r="J16" s="273">
        <v>539.79999999999995</v>
      </c>
      <c r="K16" s="273">
        <v>277.08045960000004</v>
      </c>
      <c r="L16" s="273">
        <v>475.24786309999996</v>
      </c>
      <c r="M16" s="273">
        <v>692.44625902596408</v>
      </c>
      <c r="N16" s="273">
        <v>691.70926578300418</v>
      </c>
    </row>
    <row r="17" spans="1:14">
      <c r="A17" s="269">
        <v>135</v>
      </c>
      <c r="B17" s="270">
        <v>8.4374284770097417E-4</v>
      </c>
      <c r="C17" s="271">
        <v>540</v>
      </c>
      <c r="D17" s="272">
        <v>501</v>
      </c>
      <c r="E17" s="271">
        <v>403</v>
      </c>
      <c r="F17" s="273">
        <v>538.20255200000008</v>
      </c>
      <c r="G17" s="273">
        <v>337.62399599999998</v>
      </c>
      <c r="H17" s="273">
        <v>493.65799599999997</v>
      </c>
      <c r="I17" s="273">
        <v>493.13499999999999</v>
      </c>
      <c r="J17" s="273">
        <v>539.50400000000002</v>
      </c>
      <c r="K17" s="273">
        <v>277.08025930000002</v>
      </c>
      <c r="L17" s="273">
        <v>474.94689959999994</v>
      </c>
      <c r="M17" s="273">
        <v>692.30995351561762</v>
      </c>
      <c r="N17" s="273">
        <v>691.29206055537247</v>
      </c>
    </row>
    <row r="18" spans="1:14">
      <c r="A18" s="274">
        <v>150</v>
      </c>
      <c r="B18" s="275">
        <v>9.3891167256154504E-4</v>
      </c>
      <c r="C18" s="276">
        <v>539</v>
      </c>
      <c r="D18" s="277">
        <v>500</v>
      </c>
      <c r="E18" s="276">
        <v>403</v>
      </c>
      <c r="F18" s="278">
        <v>538.07172300000002</v>
      </c>
      <c r="G18" s="278">
        <v>337.16611500000005</v>
      </c>
      <c r="H18" s="278">
        <v>493.02011500000003</v>
      </c>
      <c r="I18" s="278">
        <v>492.947</v>
      </c>
      <c r="J18" s="278">
        <v>539.31200000000001</v>
      </c>
      <c r="K18" s="278">
        <v>277.08009960000004</v>
      </c>
      <c r="L18" s="278">
        <v>474.33461149999994</v>
      </c>
      <c r="M18" s="278">
        <v>691.88849983938326</v>
      </c>
      <c r="N18" s="278">
        <v>690.32503738246703</v>
      </c>
    </row>
    <row r="19" spans="1:14">
      <c r="A19" s="269">
        <v>175</v>
      </c>
      <c r="B19" s="270">
        <v>1.0941670531778389E-3</v>
      </c>
      <c r="C19" s="271">
        <v>539</v>
      </c>
      <c r="D19" s="272">
        <v>500</v>
      </c>
      <c r="E19" s="271">
        <v>403</v>
      </c>
      <c r="F19" s="273">
        <v>537.603565</v>
      </c>
      <c r="G19" s="273">
        <v>336.87854199999998</v>
      </c>
      <c r="H19" s="273">
        <v>492.61113899999998</v>
      </c>
      <c r="I19" s="273">
        <v>492.58499999999998</v>
      </c>
      <c r="J19" s="273">
        <v>538.952</v>
      </c>
      <c r="K19" s="273">
        <v>276.46072990000005</v>
      </c>
      <c r="L19" s="273">
        <v>473.93531389999993</v>
      </c>
      <c r="M19" s="273">
        <v>690.84414347171571</v>
      </c>
      <c r="N19" s="273">
        <v>689.87746704998608</v>
      </c>
    </row>
    <row r="20" spans="1:14">
      <c r="A20" s="269">
        <v>200</v>
      </c>
      <c r="B20" s="270">
        <v>1.2501729870709648E-3</v>
      </c>
      <c r="C20" s="271">
        <v>538</v>
      </c>
      <c r="D20" s="272">
        <v>499.5</v>
      </c>
      <c r="E20" s="271">
        <v>403</v>
      </c>
      <c r="F20" s="273">
        <v>537.14671099999998</v>
      </c>
      <c r="G20" s="273">
        <v>336.70076299999999</v>
      </c>
      <c r="H20" s="273">
        <v>492.32876299999998</v>
      </c>
      <c r="I20" s="273">
        <v>492.22300000000001</v>
      </c>
      <c r="J20" s="273">
        <v>538.4</v>
      </c>
      <c r="K20" s="273">
        <v>276.33039960000002</v>
      </c>
      <c r="L20" s="273">
        <v>473.68357629999997</v>
      </c>
      <c r="M20" s="273">
        <v>690.47122015670607</v>
      </c>
      <c r="N20" s="273">
        <v>689.25831202046038</v>
      </c>
    </row>
    <row r="21" spans="1:14">
      <c r="A21" s="269">
        <v>225</v>
      </c>
      <c r="B21" s="270">
        <v>1.406929723433512E-3</v>
      </c>
      <c r="C21" s="271">
        <v>537</v>
      </c>
      <c r="D21" s="272">
        <v>499</v>
      </c>
      <c r="E21" s="271">
        <v>402</v>
      </c>
      <c r="F21" s="273">
        <v>536.50769300000002</v>
      </c>
      <c r="G21" s="273">
        <v>336.41176100000001</v>
      </c>
      <c r="H21" s="273">
        <v>491.91876099999996</v>
      </c>
      <c r="I21" s="273">
        <v>491.86099999999999</v>
      </c>
      <c r="J21" s="273">
        <v>538.00800000000004</v>
      </c>
      <c r="K21" s="273">
        <v>275.95046959999996</v>
      </c>
      <c r="L21" s="273">
        <v>473.28417609999997</v>
      </c>
      <c r="M21" s="273">
        <v>689.8022520486511</v>
      </c>
      <c r="N21" s="273">
        <v>688.8129271527655</v>
      </c>
    </row>
    <row r="22" spans="1:14">
      <c r="A22" s="269">
        <v>249</v>
      </c>
      <c r="B22" s="270">
        <v>1.552294856975083E-3</v>
      </c>
      <c r="C22" s="271">
        <v>537</v>
      </c>
      <c r="D22" s="272">
        <v>498.5</v>
      </c>
      <c r="E22" s="271">
        <v>401</v>
      </c>
      <c r="F22" s="273">
        <v>536.10147500000005</v>
      </c>
      <c r="G22" s="273">
        <v>336.16249900000003</v>
      </c>
      <c r="H22" s="273">
        <v>491.55449900000002</v>
      </c>
      <c r="I22" s="273">
        <v>491.31</v>
      </c>
      <c r="J22" s="273">
        <v>537.30399999999997</v>
      </c>
      <c r="K22" s="273">
        <v>275.66065350000002</v>
      </c>
      <c r="L22" s="273">
        <v>472.93424989999994</v>
      </c>
      <c r="M22" s="273">
        <v>689.26850966535017</v>
      </c>
      <c r="N22" s="273">
        <v>688.26621385305521</v>
      </c>
    </row>
    <row r="23" spans="1:14">
      <c r="A23" s="274">
        <v>299</v>
      </c>
      <c r="B23" s="275">
        <v>1.8694489545275771E-3</v>
      </c>
      <c r="C23" s="276">
        <v>536</v>
      </c>
      <c r="D23" s="277">
        <v>497.5</v>
      </c>
      <c r="E23" s="276">
        <v>401</v>
      </c>
      <c r="F23" s="278">
        <v>535.22566800000004</v>
      </c>
      <c r="G23" s="278">
        <v>335.55032800000004</v>
      </c>
      <c r="H23" s="278">
        <v>490.663906</v>
      </c>
      <c r="I23" s="278">
        <v>490.601</v>
      </c>
      <c r="J23" s="278">
        <v>536.68799999999999</v>
      </c>
      <c r="K23" s="278">
        <v>274.7007792</v>
      </c>
      <c r="L23" s="278">
        <v>472.0730906</v>
      </c>
      <c r="M23" s="278">
        <v>687.81970500519094</v>
      </c>
      <c r="N23" s="278">
        <v>687.04434620259894</v>
      </c>
    </row>
    <row r="24" spans="1:14">
      <c r="A24" s="269">
        <v>349</v>
      </c>
      <c r="B24" s="270">
        <v>2.1772406259407654E-3</v>
      </c>
      <c r="C24" s="271">
        <v>535</v>
      </c>
      <c r="D24" s="272">
        <v>497</v>
      </c>
      <c r="E24" s="271">
        <v>400</v>
      </c>
      <c r="F24" s="273">
        <v>534.57703300000003</v>
      </c>
      <c r="G24" s="273">
        <v>335.045053</v>
      </c>
      <c r="H24" s="273">
        <v>489.90163000000001</v>
      </c>
      <c r="I24" s="273">
        <v>489.81900000000002</v>
      </c>
      <c r="J24" s="273">
        <v>535.74799999999993</v>
      </c>
      <c r="K24" s="273">
        <v>274.46088350000002</v>
      </c>
      <c r="L24" s="273">
        <v>471.34176300000001</v>
      </c>
      <c r="M24" s="273">
        <v>686.78655510086276</v>
      </c>
      <c r="N24" s="273">
        <v>685.89544736464165</v>
      </c>
    </row>
    <row r="25" spans="1:14">
      <c r="A25" s="269">
        <v>400</v>
      </c>
      <c r="B25" s="270">
        <v>2.5002951077791229E-3</v>
      </c>
      <c r="C25" s="271">
        <v>535</v>
      </c>
      <c r="D25" s="272">
        <v>496.5</v>
      </c>
      <c r="E25" s="271">
        <v>400</v>
      </c>
      <c r="F25" s="273">
        <v>533.71722599999998</v>
      </c>
      <c r="G25" s="273">
        <v>334.51234799999997</v>
      </c>
      <c r="H25" s="273">
        <v>489.11734799999999</v>
      </c>
      <c r="I25" s="273">
        <v>488.79</v>
      </c>
      <c r="J25" s="273">
        <v>534.96400000000006</v>
      </c>
      <c r="K25" s="273">
        <v>274.08028600000006</v>
      </c>
      <c r="L25" s="273">
        <v>470.58623479999994</v>
      </c>
      <c r="M25" s="273">
        <v>686.1802743712326</v>
      </c>
      <c r="N25" s="273">
        <v>684.92925338278724</v>
      </c>
    </row>
    <row r="26" spans="1:14">
      <c r="A26" s="269">
        <v>449</v>
      </c>
      <c r="B26" s="270">
        <v>2.8011716318172069E-3</v>
      </c>
      <c r="C26" s="271">
        <v>534</v>
      </c>
      <c r="D26" s="272">
        <v>496</v>
      </c>
      <c r="E26" s="271">
        <v>400</v>
      </c>
      <c r="F26" s="273">
        <v>533.24858300000005</v>
      </c>
      <c r="G26" s="273">
        <v>334.13298800000001</v>
      </c>
      <c r="H26" s="273">
        <v>488.594988</v>
      </c>
      <c r="I26" s="273">
        <v>488.24</v>
      </c>
      <c r="J26" s="273">
        <v>534.51599999999996</v>
      </c>
      <c r="K26" s="273">
        <v>273.91063929999996</v>
      </c>
      <c r="L26" s="273">
        <v>470.08579879999991</v>
      </c>
      <c r="M26" s="273">
        <v>685.08505773851027</v>
      </c>
      <c r="N26" s="273">
        <v>684.19537430767593</v>
      </c>
    </row>
    <row r="27" spans="1:14">
      <c r="A27" s="274">
        <v>499</v>
      </c>
      <c r="B27" s="275">
        <v>3.1173144344167686E-3</v>
      </c>
      <c r="C27" s="276">
        <v>534</v>
      </c>
      <c r="D27" s="277">
        <v>495.5</v>
      </c>
      <c r="E27" s="276">
        <v>399</v>
      </c>
      <c r="F27" s="278">
        <v>532.79929900000002</v>
      </c>
      <c r="G27" s="278">
        <v>333.91579300000001</v>
      </c>
      <c r="H27" s="278">
        <v>488.26679300000001</v>
      </c>
      <c r="I27" s="278">
        <v>487.64600000000002</v>
      </c>
      <c r="J27" s="278">
        <v>533.85199999999998</v>
      </c>
      <c r="K27" s="278">
        <v>273.29088920000004</v>
      </c>
      <c r="L27" s="278">
        <v>469.78457930000002</v>
      </c>
      <c r="M27" s="278">
        <v>684.2052355019747</v>
      </c>
      <c r="N27" s="278">
        <v>683.74575349499901</v>
      </c>
    </row>
    <row r="28" spans="1:14">
      <c r="A28" s="269">
        <v>550</v>
      </c>
      <c r="B28" s="270">
        <v>3.4362444011436133E-3</v>
      </c>
      <c r="C28" s="271">
        <v>533</v>
      </c>
      <c r="D28" s="272">
        <v>495</v>
      </c>
      <c r="E28" s="271">
        <v>399</v>
      </c>
      <c r="F28" s="273">
        <v>532.24883199999999</v>
      </c>
      <c r="G28" s="273">
        <v>333.54857700000002</v>
      </c>
      <c r="H28" s="273">
        <v>487.74257699999998</v>
      </c>
      <c r="I28" s="273">
        <v>487.06700000000001</v>
      </c>
      <c r="J28" s="273">
        <v>533.31200000000001</v>
      </c>
      <c r="K28" s="273">
        <v>272.95073489999999</v>
      </c>
      <c r="L28" s="273">
        <v>469.27335769999996</v>
      </c>
      <c r="M28" s="273">
        <v>683.52875921971747</v>
      </c>
      <c r="N28" s="273">
        <v>682.96303570975999</v>
      </c>
    </row>
    <row r="29" spans="1:14">
      <c r="A29" s="269">
        <v>600</v>
      </c>
      <c r="B29" s="270">
        <v>3.7450409230118339E-3</v>
      </c>
      <c r="C29" s="271">
        <v>532</v>
      </c>
      <c r="D29" s="272">
        <v>494.5</v>
      </c>
      <c r="E29" s="271">
        <v>398</v>
      </c>
      <c r="F29" s="273">
        <v>531.694301</v>
      </c>
      <c r="G29" s="273">
        <v>333.12884000000003</v>
      </c>
      <c r="H29" s="273">
        <v>487.08184</v>
      </c>
      <c r="I29" s="273">
        <v>486.61799999999999</v>
      </c>
      <c r="J29" s="273">
        <v>532.79999999999995</v>
      </c>
      <c r="K29" s="273">
        <v>272.76085860000001</v>
      </c>
      <c r="L29" s="273">
        <v>468.64738399999993</v>
      </c>
      <c r="M29" s="273">
        <v>682.81623782455063</v>
      </c>
      <c r="N29" s="273">
        <v>682.11321129991813</v>
      </c>
    </row>
    <row r="30" spans="1:14">
      <c r="A30" s="269">
        <v>650</v>
      </c>
      <c r="B30" s="270">
        <v>4.0564091815821672E-3</v>
      </c>
      <c r="C30" s="271">
        <v>532</v>
      </c>
      <c r="D30" s="272">
        <v>494</v>
      </c>
      <c r="E30" s="271">
        <v>398</v>
      </c>
      <c r="F30" s="273">
        <v>531.29685700000005</v>
      </c>
      <c r="G30" s="273">
        <v>332.83968499999997</v>
      </c>
      <c r="H30" s="273">
        <v>486.67548299999999</v>
      </c>
      <c r="I30" s="273">
        <v>485.995</v>
      </c>
      <c r="J30" s="273">
        <v>532.28800000000001</v>
      </c>
      <c r="K30" s="273">
        <v>272.33062190000004</v>
      </c>
      <c r="L30" s="273">
        <v>468.25874829999998</v>
      </c>
      <c r="M30" s="273">
        <v>681.96974671570888</v>
      </c>
      <c r="N30" s="273">
        <v>681.65586422643912</v>
      </c>
    </row>
    <row r="31" spans="1:14">
      <c r="A31" s="269">
        <v>700</v>
      </c>
      <c r="B31" s="270">
        <v>4.3703506776225087E-3</v>
      </c>
      <c r="C31" s="271">
        <v>531</v>
      </c>
      <c r="D31" s="272">
        <v>493.5</v>
      </c>
      <c r="E31" s="271">
        <v>398</v>
      </c>
      <c r="F31" s="273">
        <v>530.864507</v>
      </c>
      <c r="G31" s="273">
        <v>332.58686599999999</v>
      </c>
      <c r="H31" s="273">
        <v>486.31768800000003</v>
      </c>
      <c r="I31" s="273">
        <v>485.70600000000002</v>
      </c>
      <c r="J31" s="273">
        <v>531.75200000000007</v>
      </c>
      <c r="K31" s="273">
        <v>272.26056009999996</v>
      </c>
      <c r="L31" s="273">
        <v>467.92206879999998</v>
      </c>
      <c r="M31" s="273">
        <v>681.44930957136273</v>
      </c>
      <c r="N31" s="273">
        <v>680.98016350949649</v>
      </c>
    </row>
    <row r="32" spans="1:14">
      <c r="A32" s="269">
        <v>749</v>
      </c>
      <c r="B32" s="270">
        <v>4.673627304106095E-3</v>
      </c>
      <c r="C32" s="271">
        <v>531</v>
      </c>
      <c r="D32" s="272">
        <v>493</v>
      </c>
      <c r="E32" s="271">
        <v>398</v>
      </c>
      <c r="F32" s="273">
        <v>530.47811899999999</v>
      </c>
      <c r="G32" s="273">
        <v>332.347195</v>
      </c>
      <c r="H32" s="273">
        <v>485.97519499999999</v>
      </c>
      <c r="I32" s="273">
        <v>485.25700000000001</v>
      </c>
      <c r="J32" s="273">
        <v>531.452</v>
      </c>
      <c r="K32" s="273">
        <v>272.14001859999996</v>
      </c>
      <c r="L32" s="273">
        <v>467.59321949999998</v>
      </c>
      <c r="M32" s="273">
        <v>680.73996271171495</v>
      </c>
      <c r="N32" s="273">
        <v>680.52991276873411</v>
      </c>
    </row>
    <row r="33" spans="1:14">
      <c r="A33" s="274">
        <v>800</v>
      </c>
      <c r="B33" s="275">
        <v>4.9926123773045778E-3</v>
      </c>
      <c r="C33" s="276">
        <v>531</v>
      </c>
      <c r="D33" s="277">
        <v>493</v>
      </c>
      <c r="E33" s="276">
        <v>397</v>
      </c>
      <c r="F33" s="278">
        <v>530.09769900000003</v>
      </c>
      <c r="G33" s="278">
        <v>332.04928200000001</v>
      </c>
      <c r="H33" s="278">
        <v>485.54928200000001</v>
      </c>
      <c r="I33" s="278">
        <v>484.63400000000001</v>
      </c>
      <c r="J33" s="278">
        <v>531.20000000000005</v>
      </c>
      <c r="K33" s="278">
        <v>271.7008214</v>
      </c>
      <c r="L33" s="278">
        <v>467.17342819999993</v>
      </c>
      <c r="M33" s="278">
        <v>680.28958398203065</v>
      </c>
      <c r="N33" s="278">
        <v>679.90599471154246</v>
      </c>
    </row>
    <row r="34" spans="1:14">
      <c r="A34" s="269">
        <v>849</v>
      </c>
      <c r="B34" s="270">
        <v>5.3007251581217909E-3</v>
      </c>
      <c r="C34" s="271">
        <v>530</v>
      </c>
      <c r="D34" s="272">
        <v>492.5</v>
      </c>
      <c r="E34" s="271">
        <v>397</v>
      </c>
      <c r="F34" s="273">
        <v>529.85278999999991</v>
      </c>
      <c r="G34" s="273">
        <v>331.730594</v>
      </c>
      <c r="H34" s="273">
        <v>485.08559399999996</v>
      </c>
      <c r="I34" s="273">
        <v>484.34399999999999</v>
      </c>
      <c r="J34" s="273">
        <v>530.82399999999996</v>
      </c>
      <c r="K34" s="273">
        <v>271.7001583</v>
      </c>
      <c r="L34" s="273">
        <v>466.73205939999997</v>
      </c>
      <c r="M34" s="273">
        <v>679.71865561710933</v>
      </c>
      <c r="N34" s="273">
        <v>679.36581852267727</v>
      </c>
    </row>
    <row r="35" spans="1:14">
      <c r="A35" s="269">
        <v>899</v>
      </c>
      <c r="B35" s="270">
        <v>5.6112065441433117E-3</v>
      </c>
      <c r="C35" s="271">
        <v>530</v>
      </c>
      <c r="D35" s="272">
        <v>492</v>
      </c>
      <c r="E35" s="271">
        <v>397</v>
      </c>
      <c r="F35" s="273">
        <v>529.39442500000007</v>
      </c>
      <c r="G35" s="273">
        <v>331.56108899999998</v>
      </c>
      <c r="H35" s="273">
        <v>484.82408900000001</v>
      </c>
      <c r="I35" s="273">
        <v>483.96800000000002</v>
      </c>
      <c r="J35" s="273">
        <v>530.524</v>
      </c>
      <c r="K35" s="273">
        <v>271.64045169999997</v>
      </c>
      <c r="L35" s="273">
        <v>466.49080889999999</v>
      </c>
      <c r="M35" s="273">
        <v>679.37115921215889</v>
      </c>
      <c r="N35" s="273">
        <v>678.88746527590297</v>
      </c>
    </row>
    <row r="36" spans="1:14">
      <c r="A36" s="269">
        <v>949</v>
      </c>
      <c r="B36" s="270">
        <v>5.9240578264726923E-3</v>
      </c>
      <c r="C36" s="271">
        <v>529</v>
      </c>
      <c r="D36" s="272">
        <v>492</v>
      </c>
      <c r="E36" s="271">
        <v>397</v>
      </c>
      <c r="F36" s="273">
        <v>529.00670300000002</v>
      </c>
      <c r="G36" s="273">
        <v>331.30332200000004</v>
      </c>
      <c r="H36" s="273">
        <v>484.45732200000003</v>
      </c>
      <c r="I36" s="273">
        <v>483.53300000000002</v>
      </c>
      <c r="J36" s="273">
        <v>530.11999999999989</v>
      </c>
      <c r="K36" s="273">
        <v>271.47076960000004</v>
      </c>
      <c r="L36" s="273">
        <v>466.12383219999992</v>
      </c>
      <c r="M36" s="273">
        <v>678.82312121677671</v>
      </c>
      <c r="N36" s="273">
        <v>678.46632621165668</v>
      </c>
    </row>
    <row r="37" spans="1:14">
      <c r="A37" s="269">
        <v>999</v>
      </c>
      <c r="B37" s="270">
        <v>6.2392802905405723E-3</v>
      </c>
      <c r="C37" s="271">
        <v>529</v>
      </c>
      <c r="D37" s="272">
        <v>491.5</v>
      </c>
      <c r="E37" s="271">
        <v>396</v>
      </c>
      <c r="F37" s="273">
        <v>528.64814699999999</v>
      </c>
      <c r="G37" s="273">
        <v>331.128266</v>
      </c>
      <c r="H37" s="273">
        <v>484.191664</v>
      </c>
      <c r="I37" s="273">
        <v>483.30099999999999</v>
      </c>
      <c r="J37" s="273">
        <v>529.64</v>
      </c>
      <c r="K37" s="273">
        <v>271.18003479999993</v>
      </c>
      <c r="L37" s="273">
        <v>465.86116640000006</v>
      </c>
      <c r="M37" s="273">
        <v>678.51227650019212</v>
      </c>
      <c r="N37" s="273">
        <v>677.96230018148549</v>
      </c>
    </row>
    <row r="38" spans="1:14">
      <c r="A38" s="269">
        <v>1050</v>
      </c>
      <c r="B38" s="270">
        <v>6.5568752161540619E-3</v>
      </c>
      <c r="C38" s="271">
        <v>529</v>
      </c>
      <c r="D38" s="272">
        <v>491</v>
      </c>
      <c r="E38" s="271">
        <v>396</v>
      </c>
      <c r="F38" s="273">
        <v>528.30710199999999</v>
      </c>
      <c r="G38" s="273">
        <v>330.88122099999998</v>
      </c>
      <c r="H38" s="273">
        <v>483.84022099999999</v>
      </c>
      <c r="I38" s="273">
        <v>482.89600000000002</v>
      </c>
      <c r="J38" s="273">
        <v>529.35199999999998</v>
      </c>
      <c r="K38" s="273">
        <v>271.08010200000007</v>
      </c>
      <c r="L38" s="273">
        <v>465.5356220999999</v>
      </c>
      <c r="M38" s="273">
        <v>678.04515694353267</v>
      </c>
      <c r="N38" s="273">
        <v>677.5710569899428</v>
      </c>
    </row>
    <row r="39" spans="1:14">
      <c r="A39" s="269">
        <v>1099</v>
      </c>
      <c r="B39" s="270">
        <v>6.8628828200456111E-3</v>
      </c>
      <c r="C39" s="271">
        <v>528</v>
      </c>
      <c r="D39" s="272">
        <v>491</v>
      </c>
      <c r="E39" s="271">
        <v>396</v>
      </c>
      <c r="F39" s="273">
        <v>527.99802999999997</v>
      </c>
      <c r="G39" s="273">
        <v>330.66793999999999</v>
      </c>
      <c r="H39" s="273">
        <v>483.51603399999999</v>
      </c>
      <c r="I39" s="273">
        <v>482.404</v>
      </c>
      <c r="J39" s="273">
        <v>528.84400000000005</v>
      </c>
      <c r="K39" s="273">
        <v>270.91026779999999</v>
      </c>
      <c r="L39" s="273">
        <v>465.23488570000001</v>
      </c>
      <c r="M39" s="273">
        <v>677.39405785982876</v>
      </c>
      <c r="N39" s="273">
        <v>677.09663757978331</v>
      </c>
    </row>
    <row r="40" spans="1:14">
      <c r="A40" s="269">
        <v>1149</v>
      </c>
      <c r="B40" s="270">
        <v>7.1710633455745916E-3</v>
      </c>
      <c r="C40" s="271">
        <v>528</v>
      </c>
      <c r="D40" s="272">
        <v>490.5</v>
      </c>
      <c r="E40" s="271">
        <v>396</v>
      </c>
      <c r="F40" s="273">
        <v>527.62839700000006</v>
      </c>
      <c r="G40" s="273">
        <v>330.507768</v>
      </c>
      <c r="H40" s="273">
        <v>483.270329</v>
      </c>
      <c r="I40" s="273">
        <v>482.27300000000002</v>
      </c>
      <c r="J40" s="273">
        <v>528.51199999999994</v>
      </c>
      <c r="K40" s="273">
        <v>270.51041470000001</v>
      </c>
      <c r="L40" s="273">
        <v>464.9896329</v>
      </c>
      <c r="M40" s="273">
        <v>677.05126554511514</v>
      </c>
      <c r="N40" s="273">
        <v>676.79483774852315</v>
      </c>
    </row>
    <row r="41" spans="1:14">
      <c r="A41" s="269">
        <v>1198</v>
      </c>
      <c r="B41" s="270">
        <v>7.4814178985699257E-3</v>
      </c>
      <c r="C41" s="271">
        <v>528</v>
      </c>
      <c r="D41" s="272">
        <v>490</v>
      </c>
      <c r="E41" s="271">
        <v>395</v>
      </c>
      <c r="F41" s="273">
        <v>527.29224999999997</v>
      </c>
      <c r="G41" s="273">
        <v>330.29366100000004</v>
      </c>
      <c r="H41" s="273">
        <v>482.92104499999999</v>
      </c>
      <c r="I41" s="273">
        <v>481.911</v>
      </c>
      <c r="J41" s="273">
        <v>528.31200000000001</v>
      </c>
      <c r="K41" s="273">
        <v>270.26085309999996</v>
      </c>
      <c r="L41" s="273">
        <v>464.66010449999993</v>
      </c>
      <c r="M41" s="273">
        <v>676.42765799007486</v>
      </c>
      <c r="N41" s="273">
        <v>676.3056728788963</v>
      </c>
    </row>
    <row r="42" spans="1:14">
      <c r="A42" s="269">
        <v>1248</v>
      </c>
      <c r="B42" s="270">
        <v>7.7939475803098278E-3</v>
      </c>
      <c r="C42" s="271">
        <v>527</v>
      </c>
      <c r="D42" s="272">
        <v>490</v>
      </c>
      <c r="E42" s="271">
        <v>395</v>
      </c>
      <c r="F42" s="273">
        <v>527.08094300000005</v>
      </c>
      <c r="G42" s="273">
        <v>330.09141700000004</v>
      </c>
      <c r="H42" s="273">
        <v>482.66437999999999</v>
      </c>
      <c r="I42" s="273">
        <v>481.63600000000002</v>
      </c>
      <c r="J42" s="273">
        <v>527.90800000000002</v>
      </c>
      <c r="K42" s="273">
        <v>269.9506427</v>
      </c>
      <c r="L42" s="273">
        <v>464.42233799999997</v>
      </c>
      <c r="M42" s="273">
        <v>675.92599401295172</v>
      </c>
      <c r="N42" s="273">
        <v>675.93053142055578</v>
      </c>
    </row>
    <row r="43" spans="1:14">
      <c r="A43" s="269">
        <v>1299</v>
      </c>
      <c r="B43" s="270">
        <v>8.1086534875589467E-3</v>
      </c>
      <c r="C43" s="271">
        <v>527</v>
      </c>
      <c r="D43" s="272">
        <v>489.5</v>
      </c>
      <c r="E43" s="271">
        <v>395</v>
      </c>
      <c r="F43" s="273">
        <v>526.89801299999999</v>
      </c>
      <c r="G43" s="273">
        <v>329.914466</v>
      </c>
      <c r="H43" s="273">
        <v>482.41646599999996</v>
      </c>
      <c r="I43" s="273">
        <v>481.303</v>
      </c>
      <c r="J43" s="273">
        <v>527.64800000000002</v>
      </c>
      <c r="K43" s="273">
        <v>269.70085619999998</v>
      </c>
      <c r="L43" s="273">
        <v>464.18444659999994</v>
      </c>
      <c r="M43" s="273">
        <v>675.59145300692933</v>
      </c>
      <c r="N43" s="273">
        <v>675.54370415344829</v>
      </c>
    </row>
    <row r="44" spans="1:14">
      <c r="A44" s="269">
        <v>1350</v>
      </c>
      <c r="B44" s="270">
        <v>8.4255367126050886E-3</v>
      </c>
      <c r="C44" s="271">
        <v>527</v>
      </c>
      <c r="D44" s="272">
        <v>489.5</v>
      </c>
      <c r="E44" s="271">
        <v>395</v>
      </c>
      <c r="F44" s="273">
        <v>526.54481499999997</v>
      </c>
      <c r="G44" s="273">
        <v>329.77615599999996</v>
      </c>
      <c r="H44" s="273">
        <v>482.223771</v>
      </c>
      <c r="I44" s="273">
        <v>481.01299999999998</v>
      </c>
      <c r="J44" s="273">
        <v>527.47199999999998</v>
      </c>
      <c r="K44" s="273">
        <v>269.63031589999997</v>
      </c>
      <c r="L44" s="273">
        <v>463.99167709999995</v>
      </c>
      <c r="M44" s="273">
        <v>675.30840826728604</v>
      </c>
      <c r="N44" s="273">
        <v>675.30958302433805</v>
      </c>
    </row>
    <row r="45" spans="1:14">
      <c r="A45" s="269">
        <v>1398</v>
      </c>
      <c r="B45" s="270">
        <v>8.7300482677706258E-3</v>
      </c>
      <c r="C45" s="271">
        <v>527</v>
      </c>
      <c r="D45" s="272">
        <v>489</v>
      </c>
      <c r="E45" s="271">
        <v>395</v>
      </c>
      <c r="F45" s="273">
        <v>526.28814799999998</v>
      </c>
      <c r="G45" s="273">
        <v>329.57865199999998</v>
      </c>
      <c r="H45" s="273">
        <v>481.91565199999997</v>
      </c>
      <c r="I45" s="273">
        <v>480.82499999999999</v>
      </c>
      <c r="J45" s="273">
        <v>527.20000000000005</v>
      </c>
      <c r="K45" s="273">
        <v>269.33041620000006</v>
      </c>
      <c r="L45" s="273">
        <v>463.69764489999994</v>
      </c>
      <c r="M45" s="273">
        <v>675.06094677902445</v>
      </c>
      <c r="N45" s="273">
        <v>674.79110721522943</v>
      </c>
    </row>
    <row r="46" spans="1:14">
      <c r="A46" s="269">
        <v>1450</v>
      </c>
      <c r="B46" s="270">
        <v>9.0511902964194122E-3</v>
      </c>
      <c r="C46" s="271">
        <v>526</v>
      </c>
      <c r="D46" s="272">
        <v>489</v>
      </c>
      <c r="E46" s="271">
        <v>395</v>
      </c>
      <c r="F46" s="273">
        <v>526.05364999999995</v>
      </c>
      <c r="G46" s="273">
        <v>329.30223000000001</v>
      </c>
      <c r="H46" s="273">
        <v>481.52475099999998</v>
      </c>
      <c r="I46" s="273">
        <v>480.57900000000001</v>
      </c>
      <c r="J46" s="273">
        <v>526.976</v>
      </c>
      <c r="K46" s="273">
        <v>269.26066789999999</v>
      </c>
      <c r="L46" s="273">
        <v>463.32307509999998</v>
      </c>
      <c r="M46" s="273">
        <v>674.58074325443795</v>
      </c>
      <c r="N46" s="273">
        <v>674.28761469557946</v>
      </c>
    </row>
    <row r="47" spans="1:14">
      <c r="A47" s="269">
        <v>1499</v>
      </c>
      <c r="B47" s="270">
        <v>9.3597690449642897E-3</v>
      </c>
      <c r="C47" s="271">
        <v>526</v>
      </c>
      <c r="D47" s="272">
        <v>488.5</v>
      </c>
      <c r="E47" s="271">
        <v>394</v>
      </c>
      <c r="F47" s="273">
        <v>525.86854100000005</v>
      </c>
      <c r="G47" s="273">
        <v>329.10364300000003</v>
      </c>
      <c r="H47" s="273">
        <v>481.23822200000001</v>
      </c>
      <c r="I47" s="273">
        <v>480.18799999999999</v>
      </c>
      <c r="J47" s="273">
        <v>526.69999999999993</v>
      </c>
      <c r="K47" s="273">
        <v>269.26016010000001</v>
      </c>
      <c r="L47" s="273">
        <v>463.03656430000001</v>
      </c>
      <c r="M47" s="273">
        <v>674.28032012222752</v>
      </c>
      <c r="N47" s="273">
        <v>673.89007865102087</v>
      </c>
    </row>
    <row r="48" spans="1:14">
      <c r="A48" s="269">
        <v>1549</v>
      </c>
      <c r="B48" s="270">
        <v>9.67033552393003E-3</v>
      </c>
      <c r="C48" s="271">
        <v>526</v>
      </c>
      <c r="D48" s="272">
        <v>488.5</v>
      </c>
      <c r="E48" s="271">
        <v>394</v>
      </c>
      <c r="F48" s="273">
        <v>525.62316499999997</v>
      </c>
      <c r="G48" s="273">
        <v>328.87990200000002</v>
      </c>
      <c r="H48" s="273">
        <v>480.90936499999998</v>
      </c>
      <c r="I48" s="273">
        <v>479.86900000000003</v>
      </c>
      <c r="J48" s="273">
        <v>526.48399999999992</v>
      </c>
      <c r="K48" s="273">
        <v>269.01053209999998</v>
      </c>
      <c r="L48" s="273">
        <v>462.73549019999996</v>
      </c>
      <c r="M48" s="273">
        <v>673.98550867371625</v>
      </c>
      <c r="N48" s="273">
        <v>673.59772131320346</v>
      </c>
    </row>
    <row r="49" spans="1:14">
      <c r="A49" s="274">
        <v>1599</v>
      </c>
      <c r="B49" s="275">
        <v>9.9828906647442955E-3</v>
      </c>
      <c r="C49" s="276">
        <v>525</v>
      </c>
      <c r="D49" s="277">
        <v>488</v>
      </c>
      <c r="E49" s="276">
        <v>394</v>
      </c>
      <c r="F49" s="278">
        <v>525.42127200000004</v>
      </c>
      <c r="G49" s="278">
        <v>328.77420100000001</v>
      </c>
      <c r="H49" s="278">
        <v>480.73706299999998</v>
      </c>
      <c r="I49" s="278">
        <v>479.55</v>
      </c>
      <c r="J49" s="278">
        <v>526.19600000000003</v>
      </c>
      <c r="K49" s="278">
        <v>268.84021470000005</v>
      </c>
      <c r="L49" s="278">
        <v>462.56410630000005</v>
      </c>
      <c r="M49" s="278">
        <v>673.58490765151998</v>
      </c>
      <c r="N49" s="278">
        <v>673.18893655283523</v>
      </c>
    </row>
    <row r="50" spans="1:14">
      <c r="A50" s="269">
        <v>1649</v>
      </c>
      <c r="B50" s="270">
        <v>1.0297435395289628E-2</v>
      </c>
      <c r="C50" s="271">
        <v>525</v>
      </c>
      <c r="D50" s="272">
        <v>488</v>
      </c>
      <c r="E50" s="271">
        <v>394</v>
      </c>
      <c r="F50" s="273">
        <v>525.12028699999996</v>
      </c>
      <c r="G50" s="273">
        <v>328.55305600000003</v>
      </c>
      <c r="H50" s="273">
        <v>480.43208599999997</v>
      </c>
      <c r="I50" s="273">
        <v>479.30399999999997</v>
      </c>
      <c r="J50" s="273">
        <v>525.96</v>
      </c>
      <c r="K50" s="273">
        <v>268.70057229999998</v>
      </c>
      <c r="L50" s="273">
        <v>462.27374759999998</v>
      </c>
      <c r="M50" s="273">
        <v>673.14698382795893</v>
      </c>
      <c r="N50" s="273">
        <v>672.788167305961</v>
      </c>
    </row>
    <row r="51" spans="1:14">
      <c r="A51" s="269">
        <v>1700</v>
      </c>
      <c r="B51" s="270">
        <v>1.0613970639930229E-2</v>
      </c>
      <c r="C51" s="271">
        <v>525</v>
      </c>
      <c r="D51" s="272">
        <v>487.5</v>
      </c>
      <c r="E51" s="271">
        <v>394</v>
      </c>
      <c r="F51" s="273">
        <v>524.908908</v>
      </c>
      <c r="G51" s="273">
        <v>328.44643299999996</v>
      </c>
      <c r="H51" s="273">
        <v>480.28043299999996</v>
      </c>
      <c r="I51" s="273">
        <v>478.95699999999999</v>
      </c>
      <c r="J51" s="273">
        <v>525.74800000000005</v>
      </c>
      <c r="K51" s="273">
        <v>268.54033299999998</v>
      </c>
      <c r="L51" s="273">
        <v>462.13033590000003</v>
      </c>
      <c r="M51" s="273">
        <v>672.80148617750979</v>
      </c>
      <c r="N51" s="273">
        <v>672.60026232923531</v>
      </c>
    </row>
    <row r="52" spans="1:14">
      <c r="A52" s="269">
        <v>1749</v>
      </c>
      <c r="B52" s="270">
        <v>1.0917284211607097E-2</v>
      </c>
      <c r="C52" s="271">
        <v>525</v>
      </c>
      <c r="D52" s="272">
        <v>487.5</v>
      </c>
      <c r="E52" s="271">
        <v>394</v>
      </c>
      <c r="F52" s="273">
        <v>524.70078599999999</v>
      </c>
      <c r="G52" s="273">
        <v>328.30351200000001</v>
      </c>
      <c r="H52" s="273">
        <v>480.07351199999999</v>
      </c>
      <c r="I52" s="273">
        <v>478.73899999999998</v>
      </c>
      <c r="J52" s="273">
        <v>525.48399999999992</v>
      </c>
      <c r="K52" s="273">
        <v>268.47079680000002</v>
      </c>
      <c r="L52" s="273">
        <v>461.9335511999999</v>
      </c>
      <c r="M52" s="273">
        <v>672.48127474121247</v>
      </c>
      <c r="N52" s="273">
        <v>672.22134773022037</v>
      </c>
    </row>
    <row r="53" spans="1:14">
      <c r="A53" s="269">
        <v>1800</v>
      </c>
      <c r="B53" s="270">
        <v>1.123770834891533E-2</v>
      </c>
      <c r="C53" s="271">
        <v>525</v>
      </c>
      <c r="D53" s="272">
        <v>487.5</v>
      </c>
      <c r="E53" s="271">
        <v>393</v>
      </c>
      <c r="F53" s="273">
        <v>524.43294500000002</v>
      </c>
      <c r="G53" s="273">
        <v>328.21647199999995</v>
      </c>
      <c r="H53" s="273">
        <v>479.93890900000002</v>
      </c>
      <c r="I53" s="273">
        <v>478.59500000000003</v>
      </c>
      <c r="J53" s="273">
        <v>525.29999999999995</v>
      </c>
      <c r="K53" s="273">
        <v>268.33011750000003</v>
      </c>
      <c r="L53" s="273">
        <v>461.80419089999998</v>
      </c>
      <c r="M53" s="273">
        <v>672.19030437493791</v>
      </c>
      <c r="N53" s="273">
        <v>672.02806265341871</v>
      </c>
    </row>
    <row r="54" spans="1:14">
      <c r="A54" s="269">
        <v>1849</v>
      </c>
      <c r="B54" s="270">
        <v>1.1544727290241004E-2</v>
      </c>
      <c r="C54" s="271">
        <v>524</v>
      </c>
      <c r="D54" s="272">
        <v>487</v>
      </c>
      <c r="E54" s="271">
        <v>393</v>
      </c>
      <c r="F54" s="273">
        <v>524.23443899999995</v>
      </c>
      <c r="G54" s="273">
        <v>328.01261299999999</v>
      </c>
      <c r="H54" s="273">
        <v>479.64561299999997</v>
      </c>
      <c r="I54" s="273">
        <v>478.334</v>
      </c>
      <c r="J54" s="273">
        <v>525.06399999999996</v>
      </c>
      <c r="K54" s="273">
        <v>268.18001509999999</v>
      </c>
      <c r="L54" s="273">
        <v>461.51776129999996</v>
      </c>
      <c r="M54" s="273">
        <v>671.8441199994852</v>
      </c>
      <c r="N54" s="273">
        <v>671.74284664318111</v>
      </c>
    </row>
    <row r="55" spans="1:14">
      <c r="A55" s="269">
        <v>1899</v>
      </c>
      <c r="B55" s="270">
        <v>1.1853554930295378E-2</v>
      </c>
      <c r="C55" s="271">
        <v>524</v>
      </c>
      <c r="D55" s="272">
        <v>487</v>
      </c>
      <c r="E55" s="271">
        <v>393</v>
      </c>
      <c r="F55" s="273">
        <v>524.07255799999996</v>
      </c>
      <c r="G55" s="273">
        <v>327.88319300000001</v>
      </c>
      <c r="H55" s="273">
        <v>479.45619299999998</v>
      </c>
      <c r="I55" s="273">
        <v>478.20400000000001</v>
      </c>
      <c r="J55" s="273">
        <v>524.84799999999996</v>
      </c>
      <c r="K55" s="273">
        <v>267.98042290000001</v>
      </c>
      <c r="L55" s="273">
        <v>461.33581929999991</v>
      </c>
      <c r="M55" s="273">
        <v>671.49461205367913</v>
      </c>
      <c r="N55" s="273">
        <v>671.44952512972293</v>
      </c>
    </row>
    <row r="56" spans="1:14">
      <c r="A56" s="269">
        <v>1948</v>
      </c>
      <c r="B56" s="270">
        <v>1.2164192053068523E-2</v>
      </c>
      <c r="C56" s="271">
        <v>524</v>
      </c>
      <c r="D56" s="272">
        <v>486.5</v>
      </c>
      <c r="E56" s="271">
        <v>393</v>
      </c>
      <c r="F56" s="273">
        <v>523.79646600000001</v>
      </c>
      <c r="G56" s="273">
        <v>327.797572</v>
      </c>
      <c r="H56" s="273">
        <v>479.30677900000001</v>
      </c>
      <c r="I56" s="273">
        <v>478.04399999999998</v>
      </c>
      <c r="J56" s="273">
        <v>524.48399999999992</v>
      </c>
      <c r="K56" s="273">
        <v>267.91048829999994</v>
      </c>
      <c r="L56" s="273">
        <v>461.19867789999995</v>
      </c>
      <c r="M56" s="273">
        <v>671.1436919920834</v>
      </c>
      <c r="N56" s="273">
        <v>671.22313026141455</v>
      </c>
    </row>
    <row r="57" spans="1:14">
      <c r="A57" s="269">
        <v>1998</v>
      </c>
      <c r="B57" s="270">
        <v>1.2476639439780425E-2</v>
      </c>
      <c r="C57" s="271">
        <v>524</v>
      </c>
      <c r="D57" s="272">
        <v>486.5</v>
      </c>
      <c r="E57" s="271">
        <v>393</v>
      </c>
      <c r="F57" s="273">
        <v>523.60196400000007</v>
      </c>
      <c r="G57" s="273">
        <v>327.66561800000005</v>
      </c>
      <c r="H57" s="273">
        <v>479.12761800000004</v>
      </c>
      <c r="I57" s="273">
        <v>477.84199999999998</v>
      </c>
      <c r="J57" s="273">
        <v>524.18399999999997</v>
      </c>
      <c r="K57" s="273">
        <v>267.79082769999997</v>
      </c>
      <c r="L57" s="273">
        <v>461.03456180000001</v>
      </c>
      <c r="M57" s="273">
        <v>670.79683743529108</v>
      </c>
      <c r="N57" s="273">
        <v>670.92761042749521</v>
      </c>
    </row>
    <row r="58" spans="1:14">
      <c r="A58" s="269">
        <v>2049</v>
      </c>
      <c r="B58" s="270">
        <v>1.2790897868900494E-2</v>
      </c>
      <c r="C58" s="271">
        <v>523</v>
      </c>
      <c r="D58" s="272">
        <v>486</v>
      </c>
      <c r="E58" s="271">
        <v>392</v>
      </c>
      <c r="F58" s="273">
        <v>523.31259799999998</v>
      </c>
      <c r="G58" s="273">
        <v>327.53194500000001</v>
      </c>
      <c r="H58" s="273">
        <v>478.940945</v>
      </c>
      <c r="I58" s="273">
        <v>477.61</v>
      </c>
      <c r="J58" s="273">
        <v>524.04399999999987</v>
      </c>
      <c r="K58" s="273">
        <v>267.52045579999998</v>
      </c>
      <c r="L58" s="273">
        <v>460.84239450000001</v>
      </c>
      <c r="M58" s="273">
        <v>670.45356984775503</v>
      </c>
      <c r="N58" s="273">
        <v>670.65423449412731</v>
      </c>
    </row>
    <row r="59" spans="1:14">
      <c r="A59" s="269">
        <v>2099</v>
      </c>
      <c r="B59" s="270">
        <v>1.3106968116166842E-2</v>
      </c>
      <c r="C59" s="271">
        <v>523</v>
      </c>
      <c r="D59" s="272">
        <v>486</v>
      </c>
      <c r="E59" s="271">
        <v>392</v>
      </c>
      <c r="F59" s="273">
        <v>523.05347900000004</v>
      </c>
      <c r="G59" s="273">
        <v>327.37064200000003</v>
      </c>
      <c r="H59" s="273">
        <v>478.67172799999997</v>
      </c>
      <c r="I59" s="273">
        <v>477.30599999999998</v>
      </c>
      <c r="J59" s="273">
        <v>523.81200000000013</v>
      </c>
      <c r="K59" s="273">
        <v>267.36010520000002</v>
      </c>
      <c r="L59" s="273">
        <v>460.59701409999997</v>
      </c>
      <c r="M59" s="273">
        <v>670.21828355308935</v>
      </c>
      <c r="N59" s="273">
        <v>670.42390578920435</v>
      </c>
    </row>
    <row r="60" spans="1:14">
      <c r="A60" s="269">
        <v>2150</v>
      </c>
      <c r="B60" s="270">
        <v>1.3424850954605371E-2</v>
      </c>
      <c r="C60" s="271">
        <v>523</v>
      </c>
      <c r="D60" s="272">
        <v>486</v>
      </c>
      <c r="E60" s="271">
        <v>392</v>
      </c>
      <c r="F60" s="273">
        <v>522.88852100000008</v>
      </c>
      <c r="G60" s="273">
        <v>327.30085100000002</v>
      </c>
      <c r="H60" s="273">
        <v>478.58192700000001</v>
      </c>
      <c r="I60" s="273">
        <v>476.92899999999997</v>
      </c>
      <c r="J60" s="273">
        <v>523.55600000000004</v>
      </c>
      <c r="K60" s="273">
        <v>267.2806076</v>
      </c>
      <c r="L60" s="273">
        <v>460.50614969999987</v>
      </c>
      <c r="M60" s="273">
        <v>669.96666361645418</v>
      </c>
      <c r="N60" s="273">
        <v>670.18943112902582</v>
      </c>
    </row>
    <row r="61" spans="1:14">
      <c r="A61" s="269">
        <v>2199</v>
      </c>
      <c r="B61" s="270">
        <v>1.3728519265354249E-2</v>
      </c>
      <c r="C61" s="271">
        <v>523</v>
      </c>
      <c r="D61" s="272">
        <v>485.5</v>
      </c>
      <c r="E61" s="271">
        <v>392</v>
      </c>
      <c r="F61" s="273">
        <v>522.65722300000004</v>
      </c>
      <c r="G61" s="273">
        <v>327.15242699999999</v>
      </c>
      <c r="H61" s="273">
        <v>478.37842699999999</v>
      </c>
      <c r="I61" s="273">
        <v>476.654</v>
      </c>
      <c r="J61" s="273">
        <v>523.4</v>
      </c>
      <c r="K61" s="273">
        <v>267.26047019999999</v>
      </c>
      <c r="L61" s="273">
        <v>460.29924269999992</v>
      </c>
      <c r="M61" s="273">
        <v>669.65817188814935</v>
      </c>
      <c r="N61" s="273">
        <v>669.89220791814103</v>
      </c>
    </row>
    <row r="62" spans="1:14">
      <c r="A62" s="269">
        <v>2248</v>
      </c>
      <c r="B62" s="270">
        <v>1.4035330295265344E-2</v>
      </c>
      <c r="C62" s="271">
        <v>522</v>
      </c>
      <c r="D62" s="272">
        <v>485.5</v>
      </c>
      <c r="E62" s="271">
        <v>392</v>
      </c>
      <c r="F62" s="273">
        <v>522.537284</v>
      </c>
      <c r="G62" s="273">
        <v>327.01510099999996</v>
      </c>
      <c r="H62" s="273">
        <v>478.14942500000001</v>
      </c>
      <c r="I62" s="273">
        <v>476.56700000000001</v>
      </c>
      <c r="J62" s="273">
        <v>523.1</v>
      </c>
      <c r="K62" s="273">
        <v>267.2005911</v>
      </c>
      <c r="L62" s="273">
        <v>460.08624249999997</v>
      </c>
      <c r="M62" s="273">
        <v>669.45450069271965</v>
      </c>
      <c r="N62" s="273">
        <v>669.55720830564769</v>
      </c>
    </row>
    <row r="63" spans="1:14">
      <c r="A63" s="269">
        <v>2299</v>
      </c>
      <c r="B63" s="270">
        <v>1.4356105735361864E-2</v>
      </c>
      <c r="C63" s="271">
        <v>522</v>
      </c>
      <c r="D63" s="272">
        <v>485</v>
      </c>
      <c r="E63" s="271">
        <v>392</v>
      </c>
      <c r="F63" s="273">
        <v>522.26259599999992</v>
      </c>
      <c r="G63" s="273">
        <v>326.83389199999999</v>
      </c>
      <c r="H63" s="273">
        <v>477.89889199999999</v>
      </c>
      <c r="I63" s="273">
        <v>476.37900000000002</v>
      </c>
      <c r="J63" s="273">
        <v>522.91200000000003</v>
      </c>
      <c r="K63" s="273">
        <v>267.08056950000002</v>
      </c>
      <c r="L63" s="273">
        <v>459.85538920000005</v>
      </c>
      <c r="M63" s="273">
        <v>669.12925889369137</v>
      </c>
      <c r="N63" s="273">
        <v>669.30386794209653</v>
      </c>
    </row>
    <row r="64" spans="1:14">
      <c r="A64" s="269">
        <v>2348</v>
      </c>
      <c r="B64" s="270">
        <v>1.4661864654434413E-2</v>
      </c>
      <c r="C64" s="271">
        <v>522</v>
      </c>
      <c r="D64" s="272">
        <v>485</v>
      </c>
      <c r="E64" s="271">
        <v>392</v>
      </c>
      <c r="F64" s="273">
        <v>522.10627700000009</v>
      </c>
      <c r="G64" s="273">
        <v>326.76213799999999</v>
      </c>
      <c r="H64" s="273">
        <v>477.81469999999996</v>
      </c>
      <c r="I64" s="273">
        <v>476.16199999999998</v>
      </c>
      <c r="J64" s="273">
        <v>522.62400000000002</v>
      </c>
      <c r="K64" s="273">
        <v>266.93080599999996</v>
      </c>
      <c r="L64" s="273">
        <v>459.76436999999993</v>
      </c>
      <c r="M64" s="273">
        <v>668.9681959491711</v>
      </c>
      <c r="N64" s="273">
        <v>669.13385163742737</v>
      </c>
    </row>
    <row r="65" spans="1:14">
      <c r="A65" s="274">
        <v>2400</v>
      </c>
      <c r="B65" s="275">
        <v>1.4986588051302636E-2</v>
      </c>
      <c r="C65" s="276">
        <v>522</v>
      </c>
      <c r="D65" s="277">
        <v>484.5</v>
      </c>
      <c r="E65" s="276">
        <v>391</v>
      </c>
      <c r="F65" s="278">
        <v>521.86379699999998</v>
      </c>
      <c r="G65" s="278">
        <v>326.66886900000003</v>
      </c>
      <c r="H65" s="278">
        <v>477.66886900000003</v>
      </c>
      <c r="I65" s="278">
        <v>476.00200000000001</v>
      </c>
      <c r="J65" s="278">
        <v>522.41199999999992</v>
      </c>
      <c r="K65" s="278">
        <v>266.82087009999998</v>
      </c>
      <c r="L65" s="278">
        <v>459.63463229999996</v>
      </c>
      <c r="M65" s="278">
        <v>668.73100651586492</v>
      </c>
      <c r="N65" s="278">
        <v>668.91475236480142</v>
      </c>
    </row>
    <row r="66" spans="1:14">
      <c r="A66" s="269">
        <v>2450</v>
      </c>
      <c r="B66" s="270">
        <v>1.5296101779097751E-2</v>
      </c>
      <c r="C66" s="271">
        <v>522</v>
      </c>
      <c r="D66" s="272">
        <v>484.5</v>
      </c>
      <c r="E66" s="271">
        <v>391</v>
      </c>
      <c r="F66" s="273">
        <v>521.60120200000006</v>
      </c>
      <c r="G66" s="273">
        <v>326.52752199999998</v>
      </c>
      <c r="H66" s="273">
        <v>477.45830799999999</v>
      </c>
      <c r="I66" s="273">
        <v>475.85700000000003</v>
      </c>
      <c r="J66" s="273">
        <v>522.25199999999995</v>
      </c>
      <c r="K66" s="273">
        <v>266.82023839999999</v>
      </c>
      <c r="L66" s="273">
        <v>459.42783079999987</v>
      </c>
      <c r="M66" s="273">
        <v>668.53286026012518</v>
      </c>
      <c r="N66" s="273">
        <v>668.62315351182156</v>
      </c>
    </row>
    <row r="67" spans="1:14">
      <c r="A67" s="269">
        <v>2500</v>
      </c>
      <c r="B67" s="270">
        <v>1.560745278960439E-2</v>
      </c>
      <c r="C67" s="271">
        <v>521</v>
      </c>
      <c r="D67" s="272">
        <v>484</v>
      </c>
      <c r="E67" s="271">
        <v>391</v>
      </c>
      <c r="F67" s="273">
        <v>521.38358299999993</v>
      </c>
      <c r="G67" s="273">
        <v>326.473209</v>
      </c>
      <c r="H67" s="273">
        <v>477.37816299999997</v>
      </c>
      <c r="I67" s="273">
        <v>475.48099999999999</v>
      </c>
      <c r="J67" s="273">
        <v>522.12400000000002</v>
      </c>
      <c r="K67" s="273">
        <v>266.64089209999997</v>
      </c>
      <c r="L67" s="273">
        <v>459.35786269999994</v>
      </c>
      <c r="M67" s="273">
        <v>668.29170840648715</v>
      </c>
      <c r="N67" s="273">
        <v>668.39378255470183</v>
      </c>
    </row>
    <row r="68" spans="1:14">
      <c r="A68" s="269">
        <v>2598</v>
      </c>
      <c r="B68" s="270">
        <v>1.6218143305826088E-2</v>
      </c>
      <c r="C68" s="271">
        <v>521</v>
      </c>
      <c r="D68" s="272">
        <v>484</v>
      </c>
      <c r="E68" s="271">
        <v>391</v>
      </c>
      <c r="F68" s="273">
        <v>521.03257900000006</v>
      </c>
      <c r="G68" s="273">
        <v>326.25330300000002</v>
      </c>
      <c r="H68" s="273">
        <v>477.055027</v>
      </c>
      <c r="I68" s="273">
        <v>475.23500000000001</v>
      </c>
      <c r="J68" s="273">
        <v>521.69600000000003</v>
      </c>
      <c r="K68" s="273">
        <v>266.27063879999997</v>
      </c>
      <c r="L68" s="273">
        <v>459.03901459999992</v>
      </c>
      <c r="M68" s="273">
        <v>667.88285634397891</v>
      </c>
      <c r="N68" s="273">
        <v>668.01412232652467</v>
      </c>
    </row>
    <row r="69" spans="1:14">
      <c r="A69" s="269">
        <v>2700</v>
      </c>
      <c r="B69" s="270">
        <v>1.6853610921866498E-2</v>
      </c>
      <c r="C69" s="271">
        <v>521</v>
      </c>
      <c r="D69" s="272">
        <v>483.5</v>
      </c>
      <c r="E69" s="271">
        <v>390</v>
      </c>
      <c r="F69" s="273">
        <v>520.80045900000005</v>
      </c>
      <c r="G69" s="273">
        <v>325.92651000000001</v>
      </c>
      <c r="H69" s="273">
        <v>476.55760900000001</v>
      </c>
      <c r="I69" s="273">
        <v>474.93</v>
      </c>
      <c r="J69" s="273">
        <v>521.30000000000007</v>
      </c>
      <c r="K69" s="273">
        <v>266.26014259999999</v>
      </c>
      <c r="L69" s="273">
        <v>458.55306089999999</v>
      </c>
      <c r="M69" s="273">
        <v>667.33342490050109</v>
      </c>
      <c r="N69" s="273">
        <v>667.37366544317365</v>
      </c>
    </row>
    <row r="70" spans="1:14">
      <c r="A70" s="269">
        <v>2800</v>
      </c>
      <c r="B70" s="270">
        <v>1.7478604852359376E-2</v>
      </c>
      <c r="C70" s="271">
        <v>520</v>
      </c>
      <c r="D70" s="272">
        <v>483</v>
      </c>
      <c r="E70" s="271">
        <v>390</v>
      </c>
      <c r="F70" s="273">
        <v>520.45693499999993</v>
      </c>
      <c r="G70" s="273">
        <v>325.72222599999998</v>
      </c>
      <c r="H70" s="273">
        <v>476.29622599999999</v>
      </c>
      <c r="I70" s="273">
        <v>474.52499999999998</v>
      </c>
      <c r="J70" s="273">
        <v>520.88800000000003</v>
      </c>
      <c r="K70" s="273">
        <v>265.93010939999999</v>
      </c>
      <c r="L70" s="273">
        <v>458.3117226</v>
      </c>
      <c r="M70" s="273">
        <v>666.68292972379652</v>
      </c>
      <c r="N70" s="273">
        <v>667.01574416177868</v>
      </c>
    </row>
    <row r="71" spans="1:14">
      <c r="A71" s="269">
        <v>2898</v>
      </c>
      <c r="B71" s="270">
        <v>1.8092568273073043E-2</v>
      </c>
      <c r="C71" s="271">
        <v>520</v>
      </c>
      <c r="D71" s="272">
        <v>483</v>
      </c>
      <c r="E71" s="271">
        <v>390</v>
      </c>
      <c r="F71" s="273">
        <v>520.07881199999997</v>
      </c>
      <c r="G71" s="273">
        <v>325.47703000000001</v>
      </c>
      <c r="H71" s="273">
        <v>475.93148100000002</v>
      </c>
      <c r="I71" s="273">
        <v>474.25</v>
      </c>
      <c r="J71" s="273">
        <v>520.60399999999993</v>
      </c>
      <c r="K71" s="273">
        <v>265.80065030000003</v>
      </c>
      <c r="L71" s="273">
        <v>457.96804269999996</v>
      </c>
      <c r="M71" s="273">
        <v>665.96164006398385</v>
      </c>
      <c r="N71" s="273">
        <v>666.44927168926881</v>
      </c>
    </row>
    <row r="72" spans="1:14">
      <c r="A72" s="269">
        <v>3000</v>
      </c>
      <c r="B72" s="270">
        <v>1.8731667691996454E-2</v>
      </c>
      <c r="C72" s="271">
        <v>520</v>
      </c>
      <c r="D72" s="272">
        <v>482.5</v>
      </c>
      <c r="E72" s="271">
        <v>390</v>
      </c>
      <c r="F72" s="273">
        <v>519.72703999999999</v>
      </c>
      <c r="G72" s="273">
        <v>325.29526200000004</v>
      </c>
      <c r="H72" s="273">
        <v>475.65824399999997</v>
      </c>
      <c r="I72" s="273">
        <v>473.90199999999999</v>
      </c>
      <c r="J72" s="273">
        <v>520.34399999999994</v>
      </c>
      <c r="K72" s="273">
        <v>265.54023579999995</v>
      </c>
      <c r="L72" s="273">
        <v>457.70562439999998</v>
      </c>
      <c r="M72" s="273">
        <v>665.45891014580388</v>
      </c>
      <c r="N72" s="273">
        <v>666.09183249569423</v>
      </c>
    </row>
    <row r="73" spans="1:14">
      <c r="A73" s="269">
        <v>3098</v>
      </c>
      <c r="B73" s="270">
        <v>1.9340870917034746E-2</v>
      </c>
      <c r="C73" s="271">
        <v>519</v>
      </c>
      <c r="D73" s="272">
        <v>482</v>
      </c>
      <c r="E73" s="271">
        <v>389</v>
      </c>
      <c r="F73" s="273">
        <v>519.47121600000003</v>
      </c>
      <c r="G73" s="273">
        <v>325.09199899999999</v>
      </c>
      <c r="H73" s="273">
        <v>475.34554600000001</v>
      </c>
      <c r="I73" s="273">
        <v>473.62700000000001</v>
      </c>
      <c r="J73" s="273">
        <v>519.96399999999994</v>
      </c>
      <c r="K73" s="273">
        <v>265.46085579999999</v>
      </c>
      <c r="L73" s="273">
        <v>457.40537979999999</v>
      </c>
      <c r="M73" s="273">
        <v>665.09660343870507</v>
      </c>
      <c r="N73" s="273">
        <v>665.69375651277687</v>
      </c>
    </row>
    <row r="74" spans="1:14">
      <c r="A74" s="274">
        <v>3200</v>
      </c>
      <c r="B74" s="275">
        <v>1.9975306630725137E-2</v>
      </c>
      <c r="C74" s="276">
        <v>519</v>
      </c>
      <c r="D74" s="277">
        <v>482</v>
      </c>
      <c r="E74" s="276">
        <v>389</v>
      </c>
      <c r="F74" s="278">
        <v>519.13209000000006</v>
      </c>
      <c r="G74" s="278">
        <v>324.89474299999995</v>
      </c>
      <c r="H74" s="278">
        <v>475.08574299999998</v>
      </c>
      <c r="I74" s="278">
        <v>473.22199999999998</v>
      </c>
      <c r="J74" s="278">
        <v>519.62399999999991</v>
      </c>
      <c r="K74" s="278">
        <v>264.9807515</v>
      </c>
      <c r="L74" s="278">
        <v>457.14267429999995</v>
      </c>
      <c r="M74" s="278">
        <v>664.58372048410126</v>
      </c>
      <c r="N74" s="278">
        <v>665.31090807714725</v>
      </c>
    </row>
    <row r="75" spans="1:14">
      <c r="A75" s="269">
        <v>3299</v>
      </c>
      <c r="B75" s="270">
        <v>2.0597700645229717E-2</v>
      </c>
      <c r="C75" s="271">
        <v>519</v>
      </c>
      <c r="D75" s="272">
        <v>481.5</v>
      </c>
      <c r="E75" s="271">
        <v>389</v>
      </c>
      <c r="F75" s="273">
        <v>518.783547</v>
      </c>
      <c r="G75" s="273">
        <v>324.700063</v>
      </c>
      <c r="H75" s="273">
        <v>474.80068599999998</v>
      </c>
      <c r="I75" s="273">
        <v>472.97500000000002</v>
      </c>
      <c r="J75" s="273">
        <v>519.37999999999988</v>
      </c>
      <c r="K75" s="273">
        <v>264.84035210000002</v>
      </c>
      <c r="L75" s="273">
        <v>456.88016859999999</v>
      </c>
      <c r="M75" s="273">
        <v>664.23553405691666</v>
      </c>
      <c r="N75" s="273">
        <v>664.85901180995779</v>
      </c>
    </row>
    <row r="76" spans="1:14">
      <c r="A76" s="269">
        <v>3400</v>
      </c>
      <c r="B76" s="270">
        <v>2.122665914667176E-2</v>
      </c>
      <c r="C76" s="271">
        <v>518</v>
      </c>
      <c r="D76" s="272">
        <v>481</v>
      </c>
      <c r="E76" s="271">
        <v>389</v>
      </c>
      <c r="F76" s="273">
        <v>518.43273499999998</v>
      </c>
      <c r="G76" s="273">
        <v>324.46518999999995</v>
      </c>
      <c r="H76" s="273">
        <v>474.45957700000002</v>
      </c>
      <c r="I76" s="273">
        <v>472.541</v>
      </c>
      <c r="J76" s="273">
        <v>519.08799999999997</v>
      </c>
      <c r="K76" s="273">
        <v>264.71013849999997</v>
      </c>
      <c r="L76" s="273">
        <v>456.55455769999998</v>
      </c>
      <c r="M76" s="273">
        <v>663.71624284981522</v>
      </c>
      <c r="N76" s="273">
        <v>664.41198141583584</v>
      </c>
    </row>
    <row r="77" spans="1:14">
      <c r="A77" s="269">
        <v>3499</v>
      </c>
      <c r="B77" s="270">
        <v>2.1842869812011074E-2</v>
      </c>
      <c r="C77" s="271">
        <v>518</v>
      </c>
      <c r="D77" s="272">
        <v>480.5</v>
      </c>
      <c r="E77" s="271">
        <v>388</v>
      </c>
      <c r="F77" s="273">
        <v>518.06100100000003</v>
      </c>
      <c r="G77" s="273">
        <v>324.23062400000003</v>
      </c>
      <c r="H77" s="273">
        <v>474.106874</v>
      </c>
      <c r="I77" s="273">
        <v>472.25099999999998</v>
      </c>
      <c r="J77" s="273">
        <v>518.72399999999993</v>
      </c>
      <c r="K77" s="273">
        <v>264.520126</v>
      </c>
      <c r="L77" s="273">
        <v>456.21835759999993</v>
      </c>
      <c r="M77" s="273">
        <v>663.25181290186708</v>
      </c>
      <c r="N77" s="273">
        <v>663.97309509196032</v>
      </c>
    </row>
    <row r="78" spans="1:14">
      <c r="A78" s="269">
        <v>3598</v>
      </c>
      <c r="B78" s="270">
        <v>2.2465336397729355E-2</v>
      </c>
      <c r="C78" s="271">
        <v>518</v>
      </c>
      <c r="D78" s="272">
        <v>480.5</v>
      </c>
      <c r="E78" s="271">
        <v>388</v>
      </c>
      <c r="F78" s="273">
        <v>517.75040300000001</v>
      </c>
      <c r="G78" s="273">
        <v>324.04659500000002</v>
      </c>
      <c r="H78" s="273">
        <v>473.82976600000001</v>
      </c>
      <c r="I78" s="273">
        <v>471.81700000000001</v>
      </c>
      <c r="J78" s="273">
        <v>518.36</v>
      </c>
      <c r="K78" s="273">
        <v>264.23089450000003</v>
      </c>
      <c r="L78" s="273">
        <v>455.95557659999997</v>
      </c>
      <c r="M78" s="273">
        <v>662.91238963245462</v>
      </c>
      <c r="N78" s="273">
        <v>663.54797719623605</v>
      </c>
    </row>
    <row r="79" spans="1:14">
      <c r="A79" s="269">
        <v>3699</v>
      </c>
      <c r="B79" s="270">
        <v>2.3094100170314956E-2</v>
      </c>
      <c r="C79" s="271">
        <v>518</v>
      </c>
      <c r="D79" s="272">
        <v>480</v>
      </c>
      <c r="E79" s="271">
        <v>388</v>
      </c>
      <c r="F79" s="273">
        <v>517.425478</v>
      </c>
      <c r="G79" s="273">
        <v>323.83804799999996</v>
      </c>
      <c r="H79" s="273">
        <v>473.52008900000004</v>
      </c>
      <c r="I79" s="273">
        <v>471.51299999999998</v>
      </c>
      <c r="J79" s="273">
        <v>518</v>
      </c>
      <c r="K79" s="273">
        <v>264.04033650000002</v>
      </c>
      <c r="L79" s="273">
        <v>455.6652411</v>
      </c>
      <c r="M79" s="273">
        <v>662.38150651956187</v>
      </c>
      <c r="N79" s="273">
        <v>663.17821583797149</v>
      </c>
    </row>
    <row r="80" spans="1:14">
      <c r="A80" s="269">
        <v>3798</v>
      </c>
      <c r="B80" s="270">
        <v>2.3709259271928285E-2</v>
      </c>
      <c r="C80" s="271">
        <v>517</v>
      </c>
      <c r="D80" s="272">
        <v>480</v>
      </c>
      <c r="E80" s="271">
        <v>388</v>
      </c>
      <c r="F80" s="273">
        <v>517.19714099999999</v>
      </c>
      <c r="G80" s="273">
        <v>323.73637200000002</v>
      </c>
      <c r="H80" s="273">
        <v>473.39294999999998</v>
      </c>
      <c r="I80" s="273">
        <v>471.17899999999997</v>
      </c>
      <c r="J80" s="273">
        <v>517.71199999999999</v>
      </c>
      <c r="K80" s="273">
        <v>263.91036709999997</v>
      </c>
      <c r="L80" s="273">
        <v>455.53283999999996</v>
      </c>
      <c r="M80" s="273">
        <v>661.86447977009198</v>
      </c>
      <c r="N80" s="273">
        <v>662.90352862573195</v>
      </c>
    </row>
    <row r="81" spans="1:14">
      <c r="A81" s="269">
        <v>3900</v>
      </c>
      <c r="B81" s="270">
        <v>2.4350541943876879E-2</v>
      </c>
      <c r="C81" s="271">
        <v>517</v>
      </c>
      <c r="D81" s="272">
        <v>479.5</v>
      </c>
      <c r="E81" s="271">
        <v>388</v>
      </c>
      <c r="F81" s="273">
        <v>516.90950599999996</v>
      </c>
      <c r="G81" s="273">
        <v>323.555882</v>
      </c>
      <c r="H81" s="273">
        <v>473.12124699999998</v>
      </c>
      <c r="I81" s="273">
        <v>470.774</v>
      </c>
      <c r="J81" s="273">
        <v>517.35199999999998</v>
      </c>
      <c r="K81" s="273">
        <v>263.82010759999997</v>
      </c>
      <c r="L81" s="273">
        <v>455.27385309999994</v>
      </c>
      <c r="M81" s="273">
        <v>661.42683789810849</v>
      </c>
      <c r="N81" s="273">
        <v>662.58095402333049</v>
      </c>
    </row>
    <row r="82" spans="1:14">
      <c r="A82" s="274">
        <v>3998</v>
      </c>
      <c r="B82" s="275">
        <v>2.4957575037153467E-2</v>
      </c>
      <c r="C82" s="276">
        <v>517</v>
      </c>
      <c r="D82" s="277">
        <v>479</v>
      </c>
      <c r="E82" s="276">
        <v>387</v>
      </c>
      <c r="F82" s="278">
        <v>516.65616999999997</v>
      </c>
      <c r="G82" s="278">
        <v>323.33221399999996</v>
      </c>
      <c r="H82" s="278">
        <v>472.78921399999996</v>
      </c>
      <c r="I82" s="278">
        <v>470.54199999999997</v>
      </c>
      <c r="J82" s="278">
        <v>517.096</v>
      </c>
      <c r="K82" s="278">
        <v>263.52067049999999</v>
      </c>
      <c r="L82" s="278">
        <v>454.96242139999993</v>
      </c>
      <c r="M82" s="278">
        <v>661.06346024659672</v>
      </c>
      <c r="N82" s="278">
        <v>662.12010377835645</v>
      </c>
    </row>
    <row r="83" spans="1:14">
      <c r="A83" s="269">
        <v>4099</v>
      </c>
      <c r="B83" s="270">
        <v>2.5590807898144132E-2</v>
      </c>
      <c r="C83" s="271">
        <v>516</v>
      </c>
      <c r="D83" s="272">
        <v>479</v>
      </c>
      <c r="E83" s="271">
        <v>387</v>
      </c>
      <c r="F83" s="273">
        <v>516.32149500000003</v>
      </c>
      <c r="G83" s="273">
        <v>323.17899699999998</v>
      </c>
      <c r="H83" s="273">
        <v>472.57899699999996</v>
      </c>
      <c r="I83" s="273">
        <v>470.166</v>
      </c>
      <c r="J83" s="273">
        <v>516.63599999999997</v>
      </c>
      <c r="K83" s="273">
        <v>263.48007260000003</v>
      </c>
      <c r="L83" s="273">
        <v>454.75192979999997</v>
      </c>
      <c r="M83" s="273">
        <v>660.52977151614289</v>
      </c>
      <c r="N83" s="273">
        <v>661.77007588154117</v>
      </c>
    </row>
    <row r="84" spans="1:14">
      <c r="A84" s="269">
        <v>4198</v>
      </c>
      <c r="B84" s="270">
        <v>2.6209422519243786E-2</v>
      </c>
      <c r="C84" s="271">
        <v>516</v>
      </c>
      <c r="D84" s="272">
        <v>478.5</v>
      </c>
      <c r="E84" s="271">
        <v>387</v>
      </c>
      <c r="F84" s="273">
        <v>516.05434600000001</v>
      </c>
      <c r="G84" s="273">
        <v>323.04188600000003</v>
      </c>
      <c r="H84" s="273">
        <v>472.367886</v>
      </c>
      <c r="I84" s="273">
        <v>469.81799999999998</v>
      </c>
      <c r="J84" s="273">
        <v>516.34800000000007</v>
      </c>
      <c r="K84" s="273">
        <v>263.27012209999998</v>
      </c>
      <c r="L84" s="273">
        <v>454.5556886</v>
      </c>
      <c r="M84" s="273">
        <v>660.11704442142229</v>
      </c>
      <c r="N84" s="273">
        <v>661.48460918563705</v>
      </c>
    </row>
    <row r="85" spans="1:14">
      <c r="A85" s="269">
        <v>4298</v>
      </c>
      <c r="B85" s="270">
        <v>2.6833785831236526E-2</v>
      </c>
      <c r="C85" s="271">
        <v>516</v>
      </c>
      <c r="D85" s="272">
        <v>478.5</v>
      </c>
      <c r="E85" s="271">
        <v>387</v>
      </c>
      <c r="F85" s="273">
        <v>515.77709899999991</v>
      </c>
      <c r="G85" s="273">
        <v>322.94735800000001</v>
      </c>
      <c r="H85" s="273">
        <v>472.22979900000001</v>
      </c>
      <c r="I85" s="273">
        <v>469.42700000000002</v>
      </c>
      <c r="J85" s="273">
        <v>516.13199999999995</v>
      </c>
      <c r="K85" s="273">
        <v>263.1606883</v>
      </c>
      <c r="L85" s="273">
        <v>454.42692840000001</v>
      </c>
      <c r="M85" s="273">
        <v>659.76492457036716</v>
      </c>
      <c r="N85" s="273">
        <v>661.18329787003506</v>
      </c>
    </row>
    <row r="86" spans="1:14">
      <c r="A86" s="269">
        <v>4399</v>
      </c>
      <c r="B86" s="270">
        <v>2.7463932880781489E-2</v>
      </c>
      <c r="C86" s="271">
        <v>515</v>
      </c>
      <c r="D86" s="272">
        <v>478</v>
      </c>
      <c r="E86" s="271">
        <v>386</v>
      </c>
      <c r="F86" s="273">
        <v>515.51495599999998</v>
      </c>
      <c r="G86" s="273">
        <v>322.71849700000001</v>
      </c>
      <c r="H86" s="273">
        <v>471.89354699999996</v>
      </c>
      <c r="I86" s="273">
        <v>469.23899999999998</v>
      </c>
      <c r="J86" s="273">
        <v>515.94399999999996</v>
      </c>
      <c r="K86" s="273">
        <v>262.92064379999999</v>
      </c>
      <c r="L86" s="273">
        <v>454.10404969999996</v>
      </c>
      <c r="M86" s="273">
        <v>659.38950157864508</v>
      </c>
      <c r="N86" s="273">
        <v>660.74045842603198</v>
      </c>
    </row>
    <row r="87" spans="1:14">
      <c r="A87" s="269">
        <v>4497</v>
      </c>
      <c r="B87" s="270">
        <v>2.80786058722002E-2</v>
      </c>
      <c r="C87" s="271">
        <v>515</v>
      </c>
      <c r="D87" s="272">
        <v>478</v>
      </c>
      <c r="E87" s="271">
        <v>386</v>
      </c>
      <c r="F87" s="273">
        <v>515.28193899999997</v>
      </c>
      <c r="G87" s="273">
        <v>322.48026300000004</v>
      </c>
      <c r="H87" s="273">
        <v>471.54783299999997</v>
      </c>
      <c r="I87" s="273">
        <v>468.92</v>
      </c>
      <c r="J87" s="273">
        <v>515.6</v>
      </c>
      <c r="K87" s="273">
        <v>262.79072419999994</v>
      </c>
      <c r="L87" s="273">
        <v>453.77154539999992</v>
      </c>
      <c r="M87" s="273">
        <v>659.05746861126602</v>
      </c>
      <c r="N87" s="273">
        <v>660.28862643721857</v>
      </c>
    </row>
    <row r="88" spans="1:14">
      <c r="A88" s="269">
        <v>4600</v>
      </c>
      <c r="B88" s="270">
        <v>2.8720230407698537E-2</v>
      </c>
      <c r="C88" s="271">
        <v>515</v>
      </c>
      <c r="D88" s="272">
        <v>477.5</v>
      </c>
      <c r="E88" s="271">
        <v>386</v>
      </c>
      <c r="F88" s="273">
        <v>514.920526</v>
      </c>
      <c r="G88" s="273">
        <v>322.25513899999999</v>
      </c>
      <c r="H88" s="273">
        <v>471.20064299999996</v>
      </c>
      <c r="I88" s="273">
        <v>468.71699999999998</v>
      </c>
      <c r="J88" s="273">
        <v>515.27200000000005</v>
      </c>
      <c r="K88" s="273">
        <v>262.54037459999995</v>
      </c>
      <c r="L88" s="273">
        <v>453.43276429999997</v>
      </c>
      <c r="M88" s="273">
        <v>658.66178685045713</v>
      </c>
      <c r="N88" s="273">
        <v>659.90344469653803</v>
      </c>
    </row>
    <row r="89" spans="1:14">
      <c r="A89" s="269">
        <v>4700</v>
      </c>
      <c r="B89" s="270">
        <v>2.9346064495122583E-2</v>
      </c>
      <c r="C89" s="271">
        <v>515</v>
      </c>
      <c r="D89" s="272">
        <v>477</v>
      </c>
      <c r="E89" s="271">
        <v>386</v>
      </c>
      <c r="F89" s="273">
        <v>514.65388100000007</v>
      </c>
      <c r="G89" s="273">
        <v>322.049419</v>
      </c>
      <c r="H89" s="273">
        <v>470.92116100000004</v>
      </c>
      <c r="I89" s="273">
        <v>468.41300000000001</v>
      </c>
      <c r="J89" s="273">
        <v>514.98399999999992</v>
      </c>
      <c r="K89" s="273">
        <v>262.46029959999998</v>
      </c>
      <c r="L89" s="273">
        <v>453.16661609999994</v>
      </c>
      <c r="M89" s="273">
        <v>658.26784873049758</v>
      </c>
      <c r="N89" s="273">
        <v>659.42842749748115</v>
      </c>
    </row>
    <row r="90" spans="1:14">
      <c r="A90" s="274">
        <v>4798</v>
      </c>
      <c r="B90" s="275">
        <v>2.9955569477046324E-2</v>
      </c>
      <c r="C90" s="276">
        <v>514</v>
      </c>
      <c r="D90" s="277">
        <v>477</v>
      </c>
      <c r="E90" s="276">
        <v>386</v>
      </c>
      <c r="F90" s="278">
        <v>514.40420699999993</v>
      </c>
      <c r="G90" s="278">
        <v>321.83910499999996</v>
      </c>
      <c r="H90" s="278">
        <v>470.58642500000002</v>
      </c>
      <c r="I90" s="278">
        <v>468.12400000000002</v>
      </c>
      <c r="J90" s="278">
        <v>514.60400000000004</v>
      </c>
      <c r="K90" s="278">
        <v>262.26043659999999</v>
      </c>
      <c r="L90" s="278">
        <v>452.86154249999993</v>
      </c>
      <c r="M90" s="278">
        <v>657.94341597223536</v>
      </c>
      <c r="N90" s="278">
        <v>659.0066585051494</v>
      </c>
    </row>
    <row r="91" spans="1:14">
      <c r="A91" s="269">
        <v>4900</v>
      </c>
      <c r="B91" s="270">
        <v>3.059231280835259E-2</v>
      </c>
      <c r="C91" s="271">
        <v>514</v>
      </c>
      <c r="D91" s="272">
        <v>476.5</v>
      </c>
      <c r="E91" s="271">
        <v>385</v>
      </c>
      <c r="F91" s="273">
        <v>514.13971500000002</v>
      </c>
      <c r="G91" s="273">
        <v>321.68953199999999</v>
      </c>
      <c r="H91" s="273">
        <v>470.38953199999997</v>
      </c>
      <c r="I91" s="273">
        <v>467.87700000000001</v>
      </c>
      <c r="J91" s="273">
        <v>514.3119999999999</v>
      </c>
      <c r="K91" s="273">
        <v>262.13022050000001</v>
      </c>
      <c r="L91" s="273">
        <v>452.64845319999995</v>
      </c>
      <c r="M91" s="273">
        <v>657.4355526106865</v>
      </c>
      <c r="N91" s="273">
        <v>658.68060001476567</v>
      </c>
    </row>
    <row r="92" spans="1:14">
      <c r="A92" s="269">
        <v>4999</v>
      </c>
      <c r="B92" s="270">
        <v>3.1212411223581666E-2</v>
      </c>
      <c r="C92" s="271">
        <v>514</v>
      </c>
      <c r="D92" s="272">
        <v>476.5</v>
      </c>
      <c r="E92" s="271">
        <v>385</v>
      </c>
      <c r="F92" s="273">
        <v>513.871488</v>
      </c>
      <c r="G92" s="273">
        <v>321.48712</v>
      </c>
      <c r="H92" s="273">
        <v>470.095932</v>
      </c>
      <c r="I92" s="273">
        <v>467.53</v>
      </c>
      <c r="J92" s="273">
        <v>514.072</v>
      </c>
      <c r="K92" s="273">
        <v>261.840664</v>
      </c>
      <c r="L92" s="273">
        <v>452.38230749999997</v>
      </c>
      <c r="M92" s="273">
        <v>657.04954380565619</v>
      </c>
      <c r="N92" s="273">
        <v>658.36407400755104</v>
      </c>
    </row>
    <row r="93" spans="1:14">
      <c r="A93" s="269">
        <v>5100</v>
      </c>
      <c r="B93" s="270">
        <v>3.1837757855737073E-2</v>
      </c>
      <c r="C93" s="271">
        <v>514</v>
      </c>
      <c r="D93" s="272">
        <v>476</v>
      </c>
      <c r="E93" s="271">
        <v>385</v>
      </c>
      <c r="F93" s="273">
        <v>513.566958</v>
      </c>
      <c r="G93" s="273">
        <v>321.37003099999998</v>
      </c>
      <c r="H93" s="273">
        <v>469.92403099999996</v>
      </c>
      <c r="I93" s="273">
        <v>467.428</v>
      </c>
      <c r="J93" s="273">
        <v>513.81600000000003</v>
      </c>
      <c r="K93" s="273">
        <v>261.7901296</v>
      </c>
      <c r="L93" s="273">
        <v>452.22800309999997</v>
      </c>
      <c r="M93" s="273">
        <v>656.66691867259624</v>
      </c>
      <c r="N93" s="273">
        <v>658.12507414969809</v>
      </c>
    </row>
    <row r="94" spans="1:14">
      <c r="A94" s="269">
        <v>5197</v>
      </c>
      <c r="B94" s="270">
        <v>3.2445768619025747E-2</v>
      </c>
      <c r="C94" s="271">
        <v>513</v>
      </c>
      <c r="D94" s="272">
        <v>476</v>
      </c>
      <c r="E94" s="271">
        <v>385</v>
      </c>
      <c r="F94" s="273">
        <v>513.40041099999996</v>
      </c>
      <c r="G94" s="273">
        <v>321.24446</v>
      </c>
      <c r="H94" s="273">
        <v>469.736176</v>
      </c>
      <c r="I94" s="273">
        <v>467.18200000000002</v>
      </c>
      <c r="J94" s="273">
        <v>513.57600000000002</v>
      </c>
      <c r="K94" s="273">
        <v>261.58038619999996</v>
      </c>
      <c r="L94" s="273">
        <v>452.03571759999994</v>
      </c>
      <c r="M94" s="273">
        <v>656.33656015406052</v>
      </c>
      <c r="N94" s="273">
        <v>657.79607170969098</v>
      </c>
    </row>
    <row r="95" spans="1:14">
      <c r="A95" s="269">
        <v>5299</v>
      </c>
      <c r="B95" s="270">
        <v>3.3081510005949076E-2</v>
      </c>
      <c r="C95" s="271">
        <v>513</v>
      </c>
      <c r="D95" s="272">
        <v>475.5</v>
      </c>
      <c r="E95" s="271">
        <v>385</v>
      </c>
      <c r="F95" s="273">
        <v>513.11868499999991</v>
      </c>
      <c r="G95" s="273">
        <v>321.09603900000002</v>
      </c>
      <c r="H95" s="273">
        <v>469.52289300000001</v>
      </c>
      <c r="I95" s="273">
        <v>466.96499999999997</v>
      </c>
      <c r="J95" s="273">
        <v>513.32399999999996</v>
      </c>
      <c r="K95" s="273">
        <v>261.47087670000002</v>
      </c>
      <c r="L95" s="273">
        <v>451.83656779999995</v>
      </c>
      <c r="M95" s="273">
        <v>655.99720745689024</v>
      </c>
      <c r="N95" s="273">
        <v>657.55376151547102</v>
      </c>
    </row>
    <row r="96" spans="1:14">
      <c r="A96" s="269">
        <v>5398</v>
      </c>
      <c r="B96" s="270">
        <v>3.3699599321998536E-2</v>
      </c>
      <c r="C96" s="271">
        <v>513</v>
      </c>
      <c r="D96" s="272">
        <v>475.5</v>
      </c>
      <c r="E96" s="271">
        <v>384</v>
      </c>
      <c r="F96" s="273">
        <v>512.86832500000003</v>
      </c>
      <c r="G96" s="273">
        <v>321.00942700000002</v>
      </c>
      <c r="H96" s="273">
        <v>469.37554100000006</v>
      </c>
      <c r="I96" s="273">
        <v>466.69</v>
      </c>
      <c r="J96" s="273">
        <v>513.19999999999993</v>
      </c>
      <c r="K96" s="273">
        <v>261.32055059999999</v>
      </c>
      <c r="L96" s="273">
        <v>451.68615409999995</v>
      </c>
      <c r="M96" s="273">
        <v>655.70738797754052</v>
      </c>
      <c r="N96" s="273">
        <v>657.28779045102488</v>
      </c>
    </row>
    <row r="97" spans="1:14">
      <c r="A97" s="269">
        <v>5498</v>
      </c>
      <c r="B97" s="270">
        <v>3.4322676750938613E-2</v>
      </c>
      <c r="C97" s="271">
        <v>513</v>
      </c>
      <c r="D97" s="272">
        <v>475</v>
      </c>
      <c r="E97" s="271">
        <v>384</v>
      </c>
      <c r="F97" s="273">
        <v>512.60874999999999</v>
      </c>
      <c r="G97" s="273">
        <v>320.77577799999995</v>
      </c>
      <c r="H97" s="273">
        <v>469.06037399999997</v>
      </c>
      <c r="I97" s="273">
        <v>466.47300000000001</v>
      </c>
      <c r="J97" s="273">
        <v>512.9079999999999</v>
      </c>
      <c r="K97" s="273">
        <v>261.19026719999999</v>
      </c>
      <c r="L97" s="273">
        <v>451.38823739999992</v>
      </c>
      <c r="M97" s="273">
        <v>655.38103455547218</v>
      </c>
      <c r="N97" s="273">
        <v>656.91485374098306</v>
      </c>
    </row>
    <row r="98" spans="1:14">
      <c r="A98" s="274">
        <v>5598</v>
      </c>
      <c r="B98" s="275">
        <v>3.4950769069279707E-2</v>
      </c>
      <c r="C98" s="276">
        <v>512</v>
      </c>
      <c r="D98" s="277">
        <v>474.5</v>
      </c>
      <c r="E98" s="276">
        <v>384</v>
      </c>
      <c r="F98" s="278">
        <v>512.40393799999993</v>
      </c>
      <c r="G98" s="278">
        <v>320.61165800000003</v>
      </c>
      <c r="H98" s="278">
        <v>468.80744299999998</v>
      </c>
      <c r="I98" s="278">
        <v>466.154</v>
      </c>
      <c r="J98" s="278">
        <v>512.70399999999995</v>
      </c>
      <c r="K98" s="278">
        <v>260.9207715</v>
      </c>
      <c r="L98" s="278">
        <v>451.14673489999996</v>
      </c>
      <c r="M98" s="278">
        <v>655.05111574567388</v>
      </c>
      <c r="N98" s="278">
        <v>656.61221829083433</v>
      </c>
    </row>
    <row r="99" spans="1:14">
      <c r="A99" s="269">
        <v>5700</v>
      </c>
      <c r="B99" s="270">
        <v>3.5583903152140481E-2</v>
      </c>
      <c r="C99" s="271">
        <v>512</v>
      </c>
      <c r="D99" s="272">
        <v>474.5</v>
      </c>
      <c r="E99" s="271">
        <v>384</v>
      </c>
      <c r="F99" s="273">
        <v>512.07202600000005</v>
      </c>
      <c r="G99" s="273">
        <v>320.53508300000004</v>
      </c>
      <c r="H99" s="273">
        <v>468.69860700000004</v>
      </c>
      <c r="I99" s="273">
        <v>465.86399999999998</v>
      </c>
      <c r="J99" s="273">
        <v>512.4</v>
      </c>
      <c r="K99" s="273">
        <v>260.82063799999997</v>
      </c>
      <c r="L99" s="273">
        <v>451.0417607</v>
      </c>
      <c r="M99" s="273">
        <v>654.69316711894044</v>
      </c>
      <c r="N99" s="273">
        <v>656.32426402177691</v>
      </c>
    </row>
    <row r="100" spans="1:14">
      <c r="A100" s="269">
        <v>5798</v>
      </c>
      <c r="B100" s="270">
        <v>3.619837812732455E-2</v>
      </c>
      <c r="C100" s="271">
        <v>512</v>
      </c>
      <c r="D100" s="272">
        <v>474.5</v>
      </c>
      <c r="E100" s="271">
        <v>384</v>
      </c>
      <c r="F100" s="273">
        <v>511.83278300000001</v>
      </c>
      <c r="G100" s="273">
        <v>320.375675</v>
      </c>
      <c r="H100" s="273">
        <v>468.46731499999999</v>
      </c>
      <c r="I100" s="273">
        <v>465.66199999999998</v>
      </c>
      <c r="J100" s="273">
        <v>512.24</v>
      </c>
      <c r="K100" s="273">
        <v>260.51064009999999</v>
      </c>
      <c r="L100" s="273">
        <v>450.82823899999994</v>
      </c>
      <c r="M100" s="273">
        <v>654.42544395542814</v>
      </c>
      <c r="N100" s="273">
        <v>656.04918471144333</v>
      </c>
    </row>
    <row r="101" spans="1:14">
      <c r="A101" s="269">
        <v>5897</v>
      </c>
      <c r="B101" s="270">
        <v>3.6817577504625359E-2</v>
      </c>
      <c r="C101" s="271">
        <v>512</v>
      </c>
      <c r="D101" s="272">
        <v>474</v>
      </c>
      <c r="E101" s="271">
        <v>383</v>
      </c>
      <c r="F101" s="273">
        <v>511.659853</v>
      </c>
      <c r="G101" s="273">
        <v>320.23240200000004</v>
      </c>
      <c r="H101" s="273">
        <v>468.24985099999998</v>
      </c>
      <c r="I101" s="273">
        <v>465.34300000000002</v>
      </c>
      <c r="J101" s="273">
        <v>512.03199999999993</v>
      </c>
      <c r="K101" s="273">
        <v>260.48044920000001</v>
      </c>
      <c r="L101" s="273">
        <v>450.61844020000001</v>
      </c>
      <c r="M101" s="273">
        <v>654.09522849070356</v>
      </c>
      <c r="N101" s="273">
        <v>655.77642585048557</v>
      </c>
    </row>
    <row r="102" spans="1:14">
      <c r="A102" s="269">
        <v>5997</v>
      </c>
      <c r="B102" s="270">
        <v>3.7441525542724355E-2</v>
      </c>
      <c r="C102" s="271">
        <v>511</v>
      </c>
      <c r="D102" s="272">
        <v>474</v>
      </c>
      <c r="E102" s="271">
        <v>383</v>
      </c>
      <c r="F102" s="273">
        <v>511.40838599999995</v>
      </c>
      <c r="G102" s="273">
        <v>320.00320599999998</v>
      </c>
      <c r="H102" s="273">
        <v>467.90783800000003</v>
      </c>
      <c r="I102" s="273">
        <v>465.12599999999998</v>
      </c>
      <c r="J102" s="273">
        <v>511.75199999999995</v>
      </c>
      <c r="K102" s="273">
        <v>260.27060000000006</v>
      </c>
      <c r="L102" s="273">
        <v>450.28252629999997</v>
      </c>
      <c r="M102" s="273">
        <v>653.86161423713611</v>
      </c>
      <c r="N102" s="273">
        <v>655.36994225598005</v>
      </c>
    </row>
    <row r="103" spans="1:14">
      <c r="A103" s="269">
        <v>6098</v>
      </c>
      <c r="B103" s="270">
        <v>3.8070246585870625E-2</v>
      </c>
      <c r="C103" s="271">
        <v>511</v>
      </c>
      <c r="D103" s="272">
        <v>473.5</v>
      </c>
      <c r="E103" s="271">
        <v>383</v>
      </c>
      <c r="F103" s="273">
        <v>511.10211700000002</v>
      </c>
      <c r="G103" s="273">
        <v>319.801241</v>
      </c>
      <c r="H103" s="273">
        <v>467.63761099999999</v>
      </c>
      <c r="I103" s="273">
        <v>464.86500000000001</v>
      </c>
      <c r="J103" s="273">
        <v>511.47200000000004</v>
      </c>
      <c r="K103" s="273">
        <v>260.17083989999998</v>
      </c>
      <c r="L103" s="273">
        <v>450.02362409999995</v>
      </c>
      <c r="M103" s="273">
        <v>653.57253525832459</v>
      </c>
      <c r="N103" s="273">
        <v>654.97436027405354</v>
      </c>
    </row>
    <row r="104" spans="1:14">
      <c r="A104" s="269">
        <v>6199</v>
      </c>
      <c r="B104" s="270">
        <v>3.8703765064072075E-2</v>
      </c>
      <c r="C104" s="271">
        <v>511</v>
      </c>
      <c r="D104" s="272">
        <v>473.5</v>
      </c>
      <c r="E104" s="271">
        <v>383</v>
      </c>
      <c r="F104" s="273">
        <v>510.88992500000001</v>
      </c>
      <c r="G104" s="273">
        <v>319.69583699999998</v>
      </c>
      <c r="H104" s="273">
        <v>467.48483700000003</v>
      </c>
      <c r="I104" s="273">
        <v>464.61900000000003</v>
      </c>
      <c r="J104" s="273">
        <v>511.26400000000001</v>
      </c>
      <c r="K104" s="273">
        <v>259.9806873</v>
      </c>
      <c r="L104" s="273">
        <v>449.87978370000002</v>
      </c>
      <c r="M104" s="273">
        <v>653.14303768072114</v>
      </c>
      <c r="N104" s="273">
        <v>654.62224975785421</v>
      </c>
    </row>
    <row r="105" spans="1:14">
      <c r="A105" s="269">
        <v>6298</v>
      </c>
      <c r="B105" s="270">
        <v>3.9317464477843851E-2</v>
      </c>
      <c r="C105" s="271">
        <v>511</v>
      </c>
      <c r="D105" s="272">
        <v>473</v>
      </c>
      <c r="E105" s="271">
        <v>383</v>
      </c>
      <c r="F105" s="273">
        <v>510.63166800000005</v>
      </c>
      <c r="G105" s="273">
        <v>319.55058100000002</v>
      </c>
      <c r="H105" s="273">
        <v>467.26671899999997</v>
      </c>
      <c r="I105" s="273">
        <v>464.47399999999999</v>
      </c>
      <c r="J105" s="273">
        <v>511.072</v>
      </c>
      <c r="K105" s="273">
        <v>259.84042180000006</v>
      </c>
      <c r="L105" s="273">
        <v>449.67319699999996</v>
      </c>
      <c r="M105" s="273">
        <v>652.83547890388445</v>
      </c>
      <c r="N105" s="273">
        <v>654.35680577609162</v>
      </c>
    </row>
    <row r="106" spans="1:14">
      <c r="A106" s="274">
        <v>6397</v>
      </c>
      <c r="B106" s="275">
        <v>3.9935643925582923E-2</v>
      </c>
      <c r="C106" s="276">
        <v>511</v>
      </c>
      <c r="D106" s="277">
        <v>473</v>
      </c>
      <c r="E106" s="276">
        <v>382</v>
      </c>
      <c r="F106" s="278">
        <v>510.44587100000001</v>
      </c>
      <c r="G106" s="278">
        <v>319.45895000000002</v>
      </c>
      <c r="H106" s="278">
        <v>467.13716599999998</v>
      </c>
      <c r="I106" s="278">
        <v>464.3</v>
      </c>
      <c r="J106" s="278">
        <v>510.82799999999997</v>
      </c>
      <c r="K106" s="278">
        <v>259.82015839999997</v>
      </c>
      <c r="L106" s="278">
        <v>449.54721659999996</v>
      </c>
      <c r="M106" s="278">
        <v>652.60466774511303</v>
      </c>
      <c r="N106" s="278">
        <v>654.04453499737201</v>
      </c>
    </row>
    <row r="107" spans="1:14">
      <c r="A107" s="269">
        <v>6500</v>
      </c>
      <c r="B107" s="270">
        <v>4.058332656008324E-2</v>
      </c>
      <c r="C107" s="271">
        <v>510</v>
      </c>
      <c r="D107" s="272">
        <v>472.5</v>
      </c>
      <c r="E107" s="271">
        <v>382</v>
      </c>
      <c r="F107" s="273">
        <v>510.22790399999997</v>
      </c>
      <c r="G107" s="273">
        <v>319.23890299999999</v>
      </c>
      <c r="H107" s="273">
        <v>466.81265400000001</v>
      </c>
      <c r="I107" s="273">
        <v>464.11200000000002</v>
      </c>
      <c r="J107" s="273">
        <v>510.56800000000004</v>
      </c>
      <c r="K107" s="273">
        <v>259.65026120000005</v>
      </c>
      <c r="L107" s="273">
        <v>449.23289029999995</v>
      </c>
      <c r="M107" s="273">
        <v>652.27955340322694</v>
      </c>
      <c r="N107" s="273">
        <v>653.78467680648862</v>
      </c>
    </row>
    <row r="108" spans="1:14">
      <c r="A108" s="269">
        <v>6597</v>
      </c>
      <c r="B108" s="270">
        <v>4.1185530770878193E-2</v>
      </c>
      <c r="C108" s="271">
        <v>510</v>
      </c>
      <c r="D108" s="272">
        <v>472.5</v>
      </c>
      <c r="E108" s="271">
        <v>382</v>
      </c>
      <c r="F108" s="273">
        <v>509.90977399999997</v>
      </c>
      <c r="G108" s="273">
        <v>319.18147700000003</v>
      </c>
      <c r="H108" s="273">
        <v>466.73063400000001</v>
      </c>
      <c r="I108" s="273">
        <v>463.851</v>
      </c>
      <c r="J108" s="273">
        <v>510.25199999999995</v>
      </c>
      <c r="K108" s="273">
        <v>259.50061929999998</v>
      </c>
      <c r="L108" s="273">
        <v>449.15242529999995</v>
      </c>
      <c r="M108" s="273">
        <v>652.02454834920729</v>
      </c>
      <c r="N108" s="273">
        <v>653.53032084459585</v>
      </c>
    </row>
    <row r="109" spans="1:14">
      <c r="A109" s="269">
        <v>6698</v>
      </c>
      <c r="B109" s="270">
        <v>4.1817282277422083E-2</v>
      </c>
      <c r="C109" s="271">
        <v>510</v>
      </c>
      <c r="D109" s="272">
        <v>472</v>
      </c>
      <c r="E109" s="271">
        <v>382</v>
      </c>
      <c r="F109" s="273">
        <v>509.66506399999997</v>
      </c>
      <c r="G109" s="273">
        <v>319.00543899999997</v>
      </c>
      <c r="H109" s="273">
        <v>466.44581199999999</v>
      </c>
      <c r="I109" s="273">
        <v>463.63400000000001</v>
      </c>
      <c r="J109" s="273">
        <v>509.98</v>
      </c>
      <c r="K109" s="273">
        <v>259.3503101</v>
      </c>
      <c r="L109" s="273">
        <v>448.88554389999996</v>
      </c>
      <c r="M109" s="273">
        <v>651.65800967315511</v>
      </c>
      <c r="N109" s="273">
        <v>653.29739529328015</v>
      </c>
    </row>
  </sheetData>
  <sheetProtection algorithmName="SHA-512" hashValue="FYuIa7huGhs9s56I8SK7zrDKMsGB9LnuHWQChgt6TxxzQbIyvd+V4ZDq21/kwxJa28IfZkAbvI6dsirLHvLS2Q==" saltValue="709QqrZXZf12Xs6Nc5/94Q==" spinCount="100000" sheet="1" objects="1" scenarios="1" selectLockedCells="1" selectUnlockedCells="1"/>
  <mergeCells count="7">
    <mergeCell ref="A7:N7"/>
    <mergeCell ref="A1:M1"/>
    <mergeCell ref="A2:N2"/>
    <mergeCell ref="A3:N3"/>
    <mergeCell ref="A4:N4"/>
    <mergeCell ref="A5:N5"/>
    <mergeCell ref="A6:N6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31"/>
  <sheetViews>
    <sheetView showGridLines="0" workbookViewId="0">
      <selection activeCell="I18" sqref="I18:J21"/>
    </sheetView>
  </sheetViews>
  <sheetFormatPr defaultRowHeight="16.5"/>
  <cols>
    <col min="1" max="1" width="0.875" style="25" customWidth="1"/>
    <col min="2" max="16384" width="9" style="25"/>
  </cols>
  <sheetData>
    <row r="1" spans="1:19" ht="5.0999999999999996" customHeight="1">
      <c r="A1" s="184"/>
      <c r="B1" s="185"/>
      <c r="C1" s="184"/>
      <c r="D1" s="184"/>
      <c r="E1" s="184"/>
      <c r="F1" s="184"/>
      <c r="G1" s="185"/>
      <c r="H1" s="185"/>
      <c r="I1" s="185"/>
      <c r="J1" s="185"/>
      <c r="K1" s="185"/>
      <c r="L1" s="185"/>
      <c r="M1" s="185"/>
      <c r="N1" s="185"/>
      <c r="O1" s="184"/>
      <c r="P1" s="185"/>
      <c r="Q1" s="185"/>
      <c r="R1" s="185"/>
      <c r="S1" s="184"/>
    </row>
    <row r="2" spans="1:19" ht="27">
      <c r="B2" s="189" t="s">
        <v>446</v>
      </c>
      <c r="C2" s="190" t="s">
        <v>503</v>
      </c>
      <c r="D2" s="178" t="s">
        <v>41</v>
      </c>
      <c r="E2" s="178" t="s">
        <v>42</v>
      </c>
      <c r="F2" s="178" t="s">
        <v>89</v>
      </c>
      <c r="G2" s="178" t="s">
        <v>403</v>
      </c>
      <c r="H2" s="178" t="s">
        <v>447</v>
      </c>
      <c r="I2" s="178" t="s">
        <v>50</v>
      </c>
      <c r="J2" s="178" t="s">
        <v>504</v>
      </c>
      <c r="K2" s="178" t="s">
        <v>404</v>
      </c>
      <c r="L2" s="178" t="s">
        <v>45</v>
      </c>
      <c r="M2" s="178" t="s">
        <v>449</v>
      </c>
      <c r="N2" s="178" t="s">
        <v>450</v>
      </c>
      <c r="O2" s="178" t="s">
        <v>55</v>
      </c>
      <c r="P2" s="178" t="s">
        <v>405</v>
      </c>
      <c r="Q2" s="178" t="s">
        <v>49</v>
      </c>
      <c r="R2" s="178" t="s">
        <v>451</v>
      </c>
      <c r="S2" s="191" t="s">
        <v>48</v>
      </c>
    </row>
    <row r="3" spans="1:19">
      <c r="B3" s="192" t="s">
        <v>452</v>
      </c>
      <c r="C3" s="186" t="s">
        <v>453</v>
      </c>
      <c r="D3" s="186" t="s">
        <v>453</v>
      </c>
      <c r="E3" s="186" t="s">
        <v>454</v>
      </c>
      <c r="F3" s="186" t="s">
        <v>454</v>
      </c>
      <c r="G3" s="186" t="s">
        <v>455</v>
      </c>
      <c r="H3" s="186" t="s">
        <v>453</v>
      </c>
      <c r="I3" s="186" t="s">
        <v>456</v>
      </c>
      <c r="J3" s="186" t="s">
        <v>455</v>
      </c>
      <c r="K3" s="186" t="s">
        <v>455</v>
      </c>
      <c r="L3" s="186" t="s">
        <v>453</v>
      </c>
      <c r="M3" s="186" t="s">
        <v>456</v>
      </c>
      <c r="N3" s="186" t="s">
        <v>456</v>
      </c>
      <c r="O3" s="186" t="s">
        <v>457</v>
      </c>
      <c r="P3" s="186" t="s">
        <v>456</v>
      </c>
      <c r="Q3" s="186" t="s">
        <v>455</v>
      </c>
      <c r="R3" s="186" t="s">
        <v>453</v>
      </c>
      <c r="S3" s="193" t="s">
        <v>455</v>
      </c>
    </row>
    <row r="4" spans="1:19">
      <c r="B4" s="192" t="s">
        <v>458</v>
      </c>
      <c r="C4" s="193">
        <v>551</v>
      </c>
      <c r="D4" s="193">
        <v>545</v>
      </c>
      <c r="E4" s="193">
        <v>341.9</v>
      </c>
      <c r="F4" s="193">
        <v>500</v>
      </c>
      <c r="G4" s="193">
        <v>682.2</v>
      </c>
      <c r="H4" s="193">
        <v>800</v>
      </c>
      <c r="I4" s="193">
        <v>478.5</v>
      </c>
      <c r="J4" s="193">
        <v>1000</v>
      </c>
      <c r="K4" s="193">
        <v>683.5</v>
      </c>
      <c r="L4" s="193">
        <v>546.4</v>
      </c>
      <c r="M4" s="193">
        <v>700</v>
      </c>
      <c r="N4" s="193">
        <v>481</v>
      </c>
      <c r="O4" s="193">
        <v>600</v>
      </c>
      <c r="P4" s="193">
        <v>504.9</v>
      </c>
      <c r="Q4" s="193">
        <v>1000</v>
      </c>
      <c r="R4" s="193">
        <v>594.4</v>
      </c>
      <c r="S4" s="193">
        <v>1000</v>
      </c>
    </row>
    <row r="5" spans="1:19">
      <c r="B5" s="194">
        <v>1E-3</v>
      </c>
      <c r="C5" s="195">
        <v>549</v>
      </c>
      <c r="D5" s="187">
        <v>545</v>
      </c>
      <c r="E5" s="187">
        <v>341.9</v>
      </c>
      <c r="F5" s="187">
        <v>500</v>
      </c>
      <c r="G5" s="187">
        <v>682</v>
      </c>
      <c r="H5" s="187">
        <v>800</v>
      </c>
      <c r="I5" s="187">
        <v>478.5</v>
      </c>
      <c r="J5" s="187">
        <v>1000</v>
      </c>
      <c r="K5" s="187">
        <v>683.5</v>
      </c>
      <c r="L5" s="187">
        <v>546.4</v>
      </c>
      <c r="M5" s="187">
        <v>700</v>
      </c>
      <c r="N5" s="187">
        <v>481</v>
      </c>
      <c r="O5" s="187">
        <v>600</v>
      </c>
      <c r="P5" s="187">
        <v>504.9</v>
      </c>
      <c r="Q5" s="187">
        <v>1000</v>
      </c>
      <c r="R5" s="187">
        <v>594.4</v>
      </c>
      <c r="S5" s="196">
        <v>1000</v>
      </c>
    </row>
    <row r="6" spans="1:19">
      <c r="B6" s="194">
        <v>3.0000000000000001E-3</v>
      </c>
      <c r="C6" s="195">
        <v>548</v>
      </c>
      <c r="D6" s="187">
        <v>544.5</v>
      </c>
      <c r="E6" s="187">
        <v>341.5</v>
      </c>
      <c r="F6" s="187">
        <v>499.5</v>
      </c>
      <c r="G6" s="187">
        <v>681</v>
      </c>
      <c r="H6" s="187">
        <v>799</v>
      </c>
      <c r="I6" s="187">
        <v>478</v>
      </c>
      <c r="J6" s="187">
        <v>999</v>
      </c>
      <c r="K6" s="187">
        <v>682.5</v>
      </c>
      <c r="L6" s="187">
        <v>545.9</v>
      </c>
      <c r="M6" s="187">
        <v>699</v>
      </c>
      <c r="N6" s="187">
        <v>480.4</v>
      </c>
      <c r="O6" s="187">
        <v>599</v>
      </c>
      <c r="P6" s="187">
        <v>504.5</v>
      </c>
      <c r="Q6" s="187">
        <v>999</v>
      </c>
      <c r="R6" s="187">
        <v>594</v>
      </c>
      <c r="S6" s="196">
        <v>999</v>
      </c>
    </row>
    <row r="7" spans="1:19">
      <c r="B7" s="194">
        <v>5.0000000000000001E-3</v>
      </c>
      <c r="C7" s="195">
        <v>547</v>
      </c>
      <c r="D7" s="187">
        <v>544</v>
      </c>
      <c r="E7" s="187">
        <v>341.1</v>
      </c>
      <c r="F7" s="187">
        <v>498.8</v>
      </c>
      <c r="G7" s="187">
        <v>680</v>
      </c>
      <c r="H7" s="187">
        <v>798</v>
      </c>
      <c r="I7" s="187">
        <v>477.5</v>
      </c>
      <c r="J7" s="187">
        <v>998</v>
      </c>
      <c r="K7" s="187">
        <v>681.5</v>
      </c>
      <c r="L7" s="187">
        <v>545.4</v>
      </c>
      <c r="M7" s="187">
        <v>698</v>
      </c>
      <c r="N7" s="187">
        <v>479.8</v>
      </c>
      <c r="O7" s="187">
        <v>598</v>
      </c>
      <c r="P7" s="187">
        <v>504</v>
      </c>
      <c r="Q7" s="187">
        <v>997.5</v>
      </c>
      <c r="R7" s="187">
        <v>593.5</v>
      </c>
      <c r="S7" s="196">
        <v>998</v>
      </c>
    </row>
    <row r="8" spans="1:19">
      <c r="B8" s="194">
        <v>7.0000000000000001E-3</v>
      </c>
      <c r="C8" s="195">
        <v>546</v>
      </c>
      <c r="D8" s="187">
        <v>543</v>
      </c>
      <c r="E8" s="187">
        <v>340.7</v>
      </c>
      <c r="F8" s="187">
        <v>498</v>
      </c>
      <c r="G8" s="187">
        <v>679.4</v>
      </c>
      <c r="H8" s="187">
        <v>797</v>
      </c>
      <c r="I8" s="187">
        <v>477</v>
      </c>
      <c r="J8" s="187">
        <v>997</v>
      </c>
      <c r="K8" s="187">
        <v>681</v>
      </c>
      <c r="L8" s="187">
        <v>544.79999999999995</v>
      </c>
      <c r="M8" s="187">
        <v>697</v>
      </c>
      <c r="N8" s="187">
        <v>479.1</v>
      </c>
      <c r="O8" s="187">
        <v>597</v>
      </c>
      <c r="P8" s="187">
        <v>503.5</v>
      </c>
      <c r="Q8" s="187">
        <v>996</v>
      </c>
      <c r="R8" s="187">
        <v>593</v>
      </c>
      <c r="S8" s="196">
        <v>997</v>
      </c>
    </row>
    <row r="9" spans="1:19">
      <c r="B9" s="194">
        <v>0.01</v>
      </c>
      <c r="C9" s="195">
        <v>545</v>
      </c>
      <c r="D9" s="187">
        <v>542</v>
      </c>
      <c r="E9" s="187">
        <v>340.1</v>
      </c>
      <c r="F9" s="187">
        <v>497</v>
      </c>
      <c r="G9" s="187">
        <v>678.8</v>
      </c>
      <c r="H9" s="187">
        <v>796</v>
      </c>
      <c r="I9" s="187">
        <v>476.5</v>
      </c>
      <c r="J9" s="187">
        <v>996</v>
      </c>
      <c r="K9" s="187">
        <v>680</v>
      </c>
      <c r="L9" s="187">
        <v>544</v>
      </c>
      <c r="M9" s="187">
        <v>696</v>
      </c>
      <c r="N9" s="187">
        <v>478.4</v>
      </c>
      <c r="O9" s="187">
        <v>596</v>
      </c>
      <c r="P9" s="187">
        <v>503</v>
      </c>
      <c r="Q9" s="187">
        <v>994.5</v>
      </c>
      <c r="R9" s="187">
        <v>592.5</v>
      </c>
      <c r="S9" s="196">
        <v>995.3</v>
      </c>
    </row>
    <row r="10" spans="1:19">
      <c r="B10" s="194">
        <v>1.4999999999999999E-2</v>
      </c>
      <c r="C10" s="195">
        <v>544</v>
      </c>
      <c r="D10" s="187">
        <v>541.5</v>
      </c>
      <c r="E10" s="187">
        <v>339.5</v>
      </c>
      <c r="F10" s="187">
        <v>496.3</v>
      </c>
      <c r="G10" s="187">
        <v>678</v>
      </c>
      <c r="H10" s="187">
        <v>795</v>
      </c>
      <c r="I10" s="187">
        <v>476</v>
      </c>
      <c r="J10" s="187">
        <v>995</v>
      </c>
      <c r="K10" s="187">
        <v>679</v>
      </c>
      <c r="L10" s="187">
        <v>543.20000000000005</v>
      </c>
      <c r="M10" s="187">
        <v>695</v>
      </c>
      <c r="N10" s="187">
        <v>477.5</v>
      </c>
      <c r="O10" s="187">
        <v>595</v>
      </c>
      <c r="P10" s="187">
        <v>502.5</v>
      </c>
      <c r="Q10" s="187">
        <v>993</v>
      </c>
      <c r="R10" s="187">
        <v>592</v>
      </c>
      <c r="S10" s="196">
        <v>993.5</v>
      </c>
    </row>
    <row r="11" spans="1:19">
      <c r="B11" s="194">
        <v>0.02</v>
      </c>
      <c r="C11" s="195">
        <v>543</v>
      </c>
      <c r="D11" s="187">
        <v>541</v>
      </c>
      <c r="E11" s="187">
        <v>339</v>
      </c>
      <c r="F11" s="187">
        <v>495.7</v>
      </c>
      <c r="G11" s="187">
        <v>677</v>
      </c>
      <c r="H11" s="187">
        <v>794</v>
      </c>
      <c r="I11" s="187">
        <v>475.5</v>
      </c>
      <c r="J11" s="187">
        <v>993</v>
      </c>
      <c r="K11" s="187">
        <v>678</v>
      </c>
      <c r="L11" s="187">
        <v>542.29999999999995</v>
      </c>
      <c r="M11" s="187">
        <v>694</v>
      </c>
      <c r="N11" s="187">
        <v>477</v>
      </c>
      <c r="O11" s="187">
        <v>594.5</v>
      </c>
      <c r="P11" s="187">
        <v>502</v>
      </c>
      <c r="Q11" s="187">
        <v>992</v>
      </c>
      <c r="R11" s="187">
        <v>591.5</v>
      </c>
      <c r="S11" s="196">
        <v>992</v>
      </c>
    </row>
    <row r="12" spans="1:19">
      <c r="B12" s="194">
        <v>2.5000000000000001E-2</v>
      </c>
      <c r="C12" s="195">
        <v>542</v>
      </c>
      <c r="D12" s="187">
        <v>540.29999999999995</v>
      </c>
      <c r="E12" s="187">
        <v>338.5</v>
      </c>
      <c r="F12" s="187">
        <v>495</v>
      </c>
      <c r="G12" s="187">
        <v>676</v>
      </c>
      <c r="H12" s="187">
        <v>793</v>
      </c>
      <c r="I12" s="187">
        <v>475</v>
      </c>
      <c r="J12" s="187">
        <v>991</v>
      </c>
      <c r="K12" s="187">
        <v>677</v>
      </c>
      <c r="L12" s="187">
        <v>541.4</v>
      </c>
      <c r="M12" s="187">
        <v>693</v>
      </c>
      <c r="N12" s="187">
        <v>476.3</v>
      </c>
      <c r="O12" s="187">
        <v>594</v>
      </c>
      <c r="P12" s="187">
        <v>501.5</v>
      </c>
      <c r="Q12" s="187">
        <v>991</v>
      </c>
      <c r="R12" s="187">
        <v>591</v>
      </c>
      <c r="S12" s="196">
        <v>990.3</v>
      </c>
    </row>
    <row r="13" spans="1:19">
      <c r="B13" s="194">
        <v>0.03</v>
      </c>
      <c r="C13" s="195">
        <v>541</v>
      </c>
      <c r="D13" s="187">
        <v>539.70000000000005</v>
      </c>
      <c r="E13" s="187">
        <v>338</v>
      </c>
      <c r="F13" s="187">
        <v>494.5</v>
      </c>
      <c r="G13" s="187">
        <v>675</v>
      </c>
      <c r="H13" s="187">
        <v>792</v>
      </c>
      <c r="I13" s="187">
        <v>474</v>
      </c>
      <c r="J13" s="187">
        <v>990</v>
      </c>
      <c r="K13" s="187">
        <v>676</v>
      </c>
      <c r="L13" s="187">
        <v>540.6</v>
      </c>
      <c r="M13" s="187">
        <v>692</v>
      </c>
      <c r="N13" s="187">
        <v>475.6</v>
      </c>
      <c r="O13" s="187">
        <v>593.5</v>
      </c>
      <c r="P13" s="187">
        <v>501</v>
      </c>
      <c r="Q13" s="187">
        <v>989.5</v>
      </c>
      <c r="R13" s="187">
        <v>590</v>
      </c>
      <c r="S13" s="196">
        <v>988.5</v>
      </c>
    </row>
    <row r="14" spans="1:19">
      <c r="B14" s="194">
        <v>0.04</v>
      </c>
      <c r="C14" s="195">
        <v>540</v>
      </c>
      <c r="D14" s="187">
        <v>539.4</v>
      </c>
      <c r="E14" s="187">
        <v>337.5</v>
      </c>
      <c r="F14" s="187">
        <v>494</v>
      </c>
      <c r="G14" s="187">
        <v>674</v>
      </c>
      <c r="H14" s="187">
        <v>791</v>
      </c>
      <c r="I14" s="187">
        <v>473.5</v>
      </c>
      <c r="J14" s="187">
        <v>989</v>
      </c>
      <c r="K14" s="187">
        <v>674.5</v>
      </c>
      <c r="L14" s="187">
        <v>539.9</v>
      </c>
      <c r="M14" s="187">
        <v>691</v>
      </c>
      <c r="N14" s="187">
        <v>475</v>
      </c>
      <c r="O14" s="187">
        <v>592.5</v>
      </c>
      <c r="P14" s="187">
        <v>500.5</v>
      </c>
      <c r="Q14" s="187">
        <v>988</v>
      </c>
      <c r="R14" s="187">
        <v>589</v>
      </c>
      <c r="S14" s="196">
        <v>987</v>
      </c>
    </row>
    <row r="15" spans="1:19">
      <c r="B15" s="194">
        <v>0.05</v>
      </c>
      <c r="C15" s="195">
        <v>539</v>
      </c>
      <c r="D15" s="187">
        <v>538.79999999999995</v>
      </c>
      <c r="E15" s="187">
        <v>337</v>
      </c>
      <c r="F15" s="187">
        <v>493.5</v>
      </c>
      <c r="G15" s="187">
        <v>673</v>
      </c>
      <c r="H15" s="187">
        <v>790</v>
      </c>
      <c r="I15" s="187">
        <v>473</v>
      </c>
      <c r="J15" s="187">
        <v>988</v>
      </c>
      <c r="K15" s="187">
        <v>673</v>
      </c>
      <c r="L15" s="187">
        <v>539.20000000000005</v>
      </c>
      <c r="M15" s="187">
        <v>690</v>
      </c>
      <c r="N15" s="187">
        <v>474.5</v>
      </c>
      <c r="O15" s="187">
        <v>591.5</v>
      </c>
      <c r="P15" s="187">
        <v>500</v>
      </c>
      <c r="Q15" s="187">
        <v>986.5</v>
      </c>
      <c r="R15" s="187">
        <v>588</v>
      </c>
      <c r="S15" s="196">
        <v>985.7</v>
      </c>
    </row>
    <row r="16" spans="1:19">
      <c r="B16" s="194">
        <v>0.06</v>
      </c>
      <c r="C16" s="195">
        <v>538</v>
      </c>
      <c r="D16" s="187">
        <v>538</v>
      </c>
      <c r="E16" s="187">
        <v>336.5</v>
      </c>
      <c r="F16" s="187">
        <v>492.8</v>
      </c>
      <c r="G16" s="187">
        <v>673</v>
      </c>
      <c r="H16" s="187">
        <v>789</v>
      </c>
      <c r="I16" s="187">
        <v>472</v>
      </c>
      <c r="J16" s="187">
        <v>986.5</v>
      </c>
      <c r="K16" s="187">
        <v>671.5</v>
      </c>
      <c r="L16" s="187">
        <v>538.5</v>
      </c>
      <c r="M16" s="187">
        <v>689</v>
      </c>
      <c r="N16" s="187">
        <v>474</v>
      </c>
      <c r="O16" s="187">
        <v>590</v>
      </c>
      <c r="P16" s="187">
        <v>499</v>
      </c>
      <c r="Q16" s="187">
        <v>985</v>
      </c>
      <c r="R16" s="187">
        <v>587</v>
      </c>
      <c r="S16" s="196">
        <v>984.5</v>
      </c>
    </row>
    <row r="17" spans="2:19">
      <c r="B17" s="194">
        <v>0.08</v>
      </c>
      <c r="C17" s="195">
        <v>537</v>
      </c>
      <c r="D17" s="187">
        <v>536.9</v>
      </c>
      <c r="E17" s="187">
        <v>336</v>
      </c>
      <c r="F17" s="187">
        <v>492.2</v>
      </c>
      <c r="G17" s="187">
        <v>672</v>
      </c>
      <c r="H17" s="187">
        <v>787</v>
      </c>
      <c r="I17" s="187">
        <v>471</v>
      </c>
      <c r="J17" s="187">
        <v>985</v>
      </c>
      <c r="K17" s="187">
        <v>670.2</v>
      </c>
      <c r="L17" s="187">
        <v>537.70000000000005</v>
      </c>
      <c r="M17" s="187">
        <v>688</v>
      </c>
      <c r="N17" s="187">
        <v>473.3</v>
      </c>
      <c r="O17" s="187">
        <v>588.5</v>
      </c>
      <c r="P17" s="187">
        <v>498</v>
      </c>
      <c r="Q17" s="187">
        <v>983.5</v>
      </c>
      <c r="R17" s="187">
        <v>586</v>
      </c>
      <c r="S17" s="196">
        <v>983.2</v>
      </c>
    </row>
    <row r="18" spans="2:19">
      <c r="B18" s="194">
        <v>0.1</v>
      </c>
      <c r="C18" s="195">
        <v>536</v>
      </c>
      <c r="D18" s="187">
        <v>535.70000000000005</v>
      </c>
      <c r="E18" s="187">
        <v>335.5</v>
      </c>
      <c r="F18" s="187">
        <v>491.4</v>
      </c>
      <c r="G18" s="187">
        <v>670</v>
      </c>
      <c r="H18" s="187">
        <v>785</v>
      </c>
      <c r="I18" s="187">
        <v>470</v>
      </c>
      <c r="J18" s="187">
        <v>983</v>
      </c>
      <c r="K18" s="187">
        <v>669</v>
      </c>
      <c r="L18" s="187">
        <v>536.79999999999995</v>
      </c>
      <c r="M18" s="187">
        <v>686.5</v>
      </c>
      <c r="N18" s="187">
        <v>472.7</v>
      </c>
      <c r="O18" s="187">
        <v>587</v>
      </c>
      <c r="P18" s="187">
        <v>497</v>
      </c>
      <c r="Q18" s="187">
        <v>982</v>
      </c>
      <c r="R18" s="187">
        <v>585</v>
      </c>
      <c r="S18" s="196">
        <v>981.5</v>
      </c>
    </row>
    <row r="19" spans="2:19">
      <c r="B19" s="194">
        <v>0.15</v>
      </c>
      <c r="C19" s="195">
        <v>535</v>
      </c>
      <c r="D19" s="187">
        <v>534.5</v>
      </c>
      <c r="E19" s="187">
        <v>334.9</v>
      </c>
      <c r="F19" s="187">
        <v>490.3</v>
      </c>
      <c r="G19" s="187">
        <v>668</v>
      </c>
      <c r="H19" s="187">
        <v>783</v>
      </c>
      <c r="I19" s="187">
        <v>468.5</v>
      </c>
      <c r="J19" s="187">
        <v>980.5</v>
      </c>
      <c r="K19" s="187">
        <v>667.6</v>
      </c>
      <c r="L19" s="187">
        <v>535.79999999999995</v>
      </c>
      <c r="M19" s="187">
        <v>684.5</v>
      </c>
      <c r="N19" s="187">
        <v>472</v>
      </c>
      <c r="O19" s="187">
        <v>585.5</v>
      </c>
      <c r="P19" s="187">
        <v>496</v>
      </c>
      <c r="Q19" s="187">
        <v>980</v>
      </c>
      <c r="R19" s="187">
        <v>584</v>
      </c>
      <c r="S19" s="196">
        <v>979.5</v>
      </c>
    </row>
    <row r="20" spans="2:19">
      <c r="B20" s="194">
        <v>0.2</v>
      </c>
      <c r="C20" s="195">
        <v>534</v>
      </c>
      <c r="D20" s="187">
        <v>533.4</v>
      </c>
      <c r="E20" s="187">
        <v>334.2</v>
      </c>
      <c r="F20" s="187">
        <v>489.2</v>
      </c>
      <c r="G20" s="187">
        <v>666.5</v>
      </c>
      <c r="H20" s="187">
        <v>781.5</v>
      </c>
      <c r="I20" s="187">
        <v>467</v>
      </c>
      <c r="J20" s="187">
        <v>978</v>
      </c>
      <c r="K20" s="187">
        <v>666.2</v>
      </c>
      <c r="L20" s="187">
        <v>534.6</v>
      </c>
      <c r="M20" s="187">
        <v>683</v>
      </c>
      <c r="N20" s="187">
        <v>471</v>
      </c>
      <c r="O20" s="187">
        <v>584.20000000000005</v>
      </c>
      <c r="P20" s="187">
        <v>495.4</v>
      </c>
      <c r="Q20" s="187">
        <v>978</v>
      </c>
      <c r="R20" s="187">
        <v>583</v>
      </c>
      <c r="S20" s="196">
        <v>977.5</v>
      </c>
    </row>
    <row r="21" spans="2:19">
      <c r="B21" s="194">
        <v>0.25</v>
      </c>
      <c r="C21" s="195">
        <v>533</v>
      </c>
      <c r="D21" s="187">
        <v>532.29999999999995</v>
      </c>
      <c r="E21" s="187">
        <v>333.4</v>
      </c>
      <c r="F21" s="187">
        <v>488.1</v>
      </c>
      <c r="G21" s="187">
        <v>665</v>
      </c>
      <c r="H21" s="187">
        <v>780</v>
      </c>
      <c r="I21" s="187">
        <v>466</v>
      </c>
      <c r="J21" s="187">
        <v>976</v>
      </c>
      <c r="K21" s="187">
        <v>665</v>
      </c>
      <c r="L21" s="187">
        <v>533.29999999999995</v>
      </c>
      <c r="M21" s="187">
        <v>681.5</v>
      </c>
      <c r="N21" s="187">
        <v>470</v>
      </c>
      <c r="O21" s="187">
        <v>583</v>
      </c>
      <c r="P21" s="187">
        <v>494.7</v>
      </c>
      <c r="Q21" s="187">
        <v>976.5</v>
      </c>
      <c r="R21" s="187">
        <v>582</v>
      </c>
      <c r="S21" s="196">
        <v>975.5</v>
      </c>
    </row>
    <row r="22" spans="2:19">
      <c r="B22" s="194">
        <v>0.3</v>
      </c>
      <c r="C22" s="195">
        <v>532</v>
      </c>
      <c r="D22" s="187">
        <v>531.20000000000005</v>
      </c>
      <c r="E22" s="187">
        <v>332.7</v>
      </c>
      <c r="F22" s="187">
        <v>487</v>
      </c>
      <c r="G22" s="187">
        <v>663.5</v>
      </c>
      <c r="H22" s="187">
        <v>778</v>
      </c>
      <c r="I22" s="187">
        <v>465</v>
      </c>
      <c r="J22" s="187">
        <v>973.5</v>
      </c>
      <c r="K22" s="187">
        <v>663.5</v>
      </c>
      <c r="L22" s="187">
        <v>532</v>
      </c>
      <c r="M22" s="187">
        <v>680</v>
      </c>
      <c r="N22" s="187">
        <v>468.8</v>
      </c>
      <c r="O22" s="187">
        <v>581.79999999999995</v>
      </c>
      <c r="P22" s="187">
        <v>494</v>
      </c>
      <c r="Q22" s="187">
        <v>974.5</v>
      </c>
      <c r="R22" s="187">
        <v>581</v>
      </c>
      <c r="S22" s="196">
        <v>973.5</v>
      </c>
    </row>
    <row r="23" spans="2:19">
      <c r="B23" s="194">
        <v>0.4</v>
      </c>
      <c r="C23" s="195">
        <v>531</v>
      </c>
      <c r="D23" s="187">
        <v>530.20000000000005</v>
      </c>
      <c r="E23" s="187">
        <v>332</v>
      </c>
      <c r="F23" s="187">
        <v>485.9</v>
      </c>
      <c r="G23" s="187">
        <v>662</v>
      </c>
      <c r="H23" s="187">
        <v>775.7</v>
      </c>
      <c r="I23" s="187">
        <v>464</v>
      </c>
      <c r="J23" s="187">
        <v>971</v>
      </c>
      <c r="K23" s="187">
        <v>662</v>
      </c>
      <c r="L23" s="187">
        <v>530.70000000000005</v>
      </c>
      <c r="M23" s="187">
        <v>678.5</v>
      </c>
      <c r="N23" s="187">
        <v>467.8</v>
      </c>
      <c r="O23" s="187">
        <v>580.5</v>
      </c>
      <c r="P23" s="187">
        <v>493.3</v>
      </c>
      <c r="Q23" s="187">
        <v>972</v>
      </c>
      <c r="R23" s="187">
        <v>580</v>
      </c>
      <c r="S23" s="196">
        <v>971.4</v>
      </c>
    </row>
    <row r="24" spans="2:19">
      <c r="B24" s="194">
        <v>0.5</v>
      </c>
      <c r="C24" s="195">
        <v>530</v>
      </c>
      <c r="D24" s="187">
        <v>529.29999999999995</v>
      </c>
      <c r="E24" s="187">
        <v>331.3</v>
      </c>
      <c r="F24" s="187">
        <v>484.9</v>
      </c>
      <c r="G24" s="187">
        <v>660.5</v>
      </c>
      <c r="H24" s="187">
        <v>774</v>
      </c>
      <c r="I24" s="187">
        <v>463</v>
      </c>
      <c r="J24" s="187">
        <v>969</v>
      </c>
      <c r="K24" s="187">
        <v>661</v>
      </c>
      <c r="L24" s="187">
        <v>529.6</v>
      </c>
      <c r="M24" s="187">
        <v>677</v>
      </c>
      <c r="N24" s="187">
        <v>466.7</v>
      </c>
      <c r="O24" s="187">
        <v>579</v>
      </c>
      <c r="P24" s="187">
        <v>492.6</v>
      </c>
      <c r="Q24" s="187">
        <v>969.5</v>
      </c>
      <c r="R24" s="187">
        <v>579</v>
      </c>
      <c r="S24" s="196">
        <v>969.3</v>
      </c>
    </row>
    <row r="25" spans="2:19">
      <c r="B25" s="194">
        <v>0.6</v>
      </c>
      <c r="C25" s="195">
        <v>529</v>
      </c>
      <c r="D25" s="187">
        <v>528.29999999999995</v>
      </c>
      <c r="E25" s="187">
        <v>330.5</v>
      </c>
      <c r="F25" s="187">
        <v>484</v>
      </c>
      <c r="G25" s="187">
        <v>659</v>
      </c>
      <c r="H25" s="187">
        <v>773</v>
      </c>
      <c r="I25" s="187">
        <v>462.2</v>
      </c>
      <c r="J25" s="187">
        <v>967</v>
      </c>
      <c r="K25" s="187">
        <v>660</v>
      </c>
      <c r="L25" s="187">
        <v>528.6</v>
      </c>
      <c r="M25" s="187">
        <v>675.5</v>
      </c>
      <c r="N25" s="187">
        <v>465.5</v>
      </c>
      <c r="O25" s="187">
        <v>578</v>
      </c>
      <c r="P25" s="187">
        <v>491.8</v>
      </c>
      <c r="Q25" s="187">
        <v>967</v>
      </c>
      <c r="R25" s="187">
        <v>578</v>
      </c>
      <c r="S25" s="196">
        <v>966.9</v>
      </c>
    </row>
    <row r="26" spans="2:19">
      <c r="B26" s="194">
        <v>0.7</v>
      </c>
      <c r="C26" s="195">
        <v>528</v>
      </c>
      <c r="D26" s="187">
        <v>527.1</v>
      </c>
      <c r="E26" s="187">
        <v>329.9</v>
      </c>
      <c r="F26" s="187">
        <v>483</v>
      </c>
      <c r="G26" s="187">
        <v>657.7</v>
      </c>
      <c r="H26" s="187">
        <v>771.5</v>
      </c>
      <c r="I26" s="187">
        <v>461.5</v>
      </c>
      <c r="J26" s="187">
        <v>965</v>
      </c>
      <c r="K26" s="187">
        <v>658.5</v>
      </c>
      <c r="L26" s="187">
        <v>527.70000000000005</v>
      </c>
      <c r="M26" s="187">
        <v>674.5</v>
      </c>
      <c r="N26" s="187">
        <v>464.3</v>
      </c>
      <c r="O26" s="187">
        <v>577</v>
      </c>
      <c r="P26" s="187">
        <v>491</v>
      </c>
      <c r="Q26" s="187">
        <v>964.5</v>
      </c>
      <c r="R26" s="187">
        <v>577</v>
      </c>
      <c r="S26" s="196">
        <v>964.7</v>
      </c>
    </row>
    <row r="27" spans="2:19">
      <c r="B27" s="194">
        <v>0.8</v>
      </c>
      <c r="C27" s="195">
        <v>527</v>
      </c>
      <c r="D27" s="187">
        <v>526</v>
      </c>
      <c r="E27" s="187">
        <v>329.3</v>
      </c>
      <c r="F27" s="187">
        <v>481.9</v>
      </c>
      <c r="G27" s="187">
        <v>656.5</v>
      </c>
      <c r="H27" s="187">
        <v>770</v>
      </c>
      <c r="I27" s="187">
        <v>460.8</v>
      </c>
      <c r="J27" s="187">
        <v>963</v>
      </c>
      <c r="K27" s="187">
        <v>657.5</v>
      </c>
      <c r="L27" s="187">
        <v>526.70000000000005</v>
      </c>
      <c r="M27" s="187">
        <v>673.5</v>
      </c>
      <c r="N27" s="187">
        <v>463.2</v>
      </c>
      <c r="O27" s="187">
        <v>576</v>
      </c>
      <c r="P27" s="187">
        <v>490.2</v>
      </c>
      <c r="Q27" s="187">
        <v>963</v>
      </c>
      <c r="R27" s="187">
        <v>576</v>
      </c>
      <c r="S27" s="196">
        <v>962.7</v>
      </c>
    </row>
    <row r="28" spans="2:19">
      <c r="B28" s="194">
        <v>1</v>
      </c>
      <c r="C28" s="195">
        <v>526</v>
      </c>
      <c r="D28" s="187">
        <v>525.20000000000005</v>
      </c>
      <c r="E28" s="187">
        <v>328.8</v>
      </c>
      <c r="F28" s="187">
        <v>480.9</v>
      </c>
      <c r="G28" s="187">
        <v>655.4</v>
      </c>
      <c r="H28" s="187">
        <v>769</v>
      </c>
      <c r="I28" s="187">
        <v>460.1</v>
      </c>
      <c r="J28" s="187">
        <v>961</v>
      </c>
      <c r="K28" s="187">
        <v>656.2</v>
      </c>
      <c r="L28" s="187">
        <v>525.6</v>
      </c>
      <c r="M28" s="187">
        <v>672.2</v>
      </c>
      <c r="N28" s="187">
        <v>462.4</v>
      </c>
      <c r="O28" s="187">
        <v>575</v>
      </c>
      <c r="P28" s="187">
        <v>489.6</v>
      </c>
      <c r="Q28" s="187">
        <v>961.5</v>
      </c>
      <c r="R28" s="187">
        <v>575</v>
      </c>
      <c r="S28" s="196">
        <v>961</v>
      </c>
    </row>
    <row r="29" spans="2:19">
      <c r="B29" s="194">
        <v>1.2</v>
      </c>
      <c r="C29" s="195">
        <v>525</v>
      </c>
      <c r="D29" s="187">
        <v>524.29999999999995</v>
      </c>
      <c r="E29" s="187">
        <v>328.3</v>
      </c>
      <c r="F29" s="187">
        <v>480</v>
      </c>
      <c r="G29" s="187">
        <v>654.4</v>
      </c>
      <c r="H29" s="187">
        <v>768</v>
      </c>
      <c r="I29" s="187">
        <v>459.4</v>
      </c>
      <c r="J29" s="187">
        <v>959</v>
      </c>
      <c r="K29" s="187">
        <v>655.29999999999995</v>
      </c>
      <c r="L29" s="187">
        <v>524.9</v>
      </c>
      <c r="M29" s="187">
        <v>670.8</v>
      </c>
      <c r="N29" s="187">
        <v>461.7</v>
      </c>
      <c r="O29" s="187">
        <v>574</v>
      </c>
      <c r="P29" s="187">
        <v>489</v>
      </c>
      <c r="Q29" s="187">
        <v>960</v>
      </c>
      <c r="R29" s="187">
        <v>574</v>
      </c>
      <c r="S29" s="196">
        <v>959.5</v>
      </c>
    </row>
    <row r="30" spans="2:19">
      <c r="B30" s="194">
        <v>1.4</v>
      </c>
      <c r="C30" s="195">
        <v>524</v>
      </c>
      <c r="D30" s="187">
        <v>523.6</v>
      </c>
      <c r="E30" s="187">
        <v>327.8</v>
      </c>
      <c r="F30" s="187">
        <v>479.2</v>
      </c>
      <c r="G30" s="187">
        <v>653.29999999999995</v>
      </c>
      <c r="H30" s="187">
        <v>767</v>
      </c>
      <c r="I30" s="187">
        <v>458.7</v>
      </c>
      <c r="J30" s="187">
        <v>958</v>
      </c>
      <c r="K30" s="187">
        <v>654</v>
      </c>
      <c r="L30" s="187">
        <v>524.29999999999995</v>
      </c>
      <c r="M30" s="187">
        <v>669.4</v>
      </c>
      <c r="N30" s="187">
        <v>461</v>
      </c>
      <c r="O30" s="187">
        <v>573</v>
      </c>
      <c r="P30" s="187">
        <v>488.2</v>
      </c>
      <c r="Q30" s="187">
        <v>958.5</v>
      </c>
      <c r="R30" s="187">
        <v>573</v>
      </c>
      <c r="S30" s="196">
        <v>957.8</v>
      </c>
    </row>
    <row r="31" spans="2:19">
      <c r="B31" s="194">
        <v>1.5</v>
      </c>
      <c r="C31" s="195">
        <v>523</v>
      </c>
      <c r="D31" s="187">
        <v>523</v>
      </c>
      <c r="E31" s="187">
        <v>327.2</v>
      </c>
      <c r="F31" s="187">
        <v>478.2</v>
      </c>
      <c r="G31" s="187">
        <v>652</v>
      </c>
      <c r="H31" s="187">
        <v>765.3</v>
      </c>
      <c r="I31" s="187">
        <v>458</v>
      </c>
      <c r="J31" s="187">
        <v>956</v>
      </c>
      <c r="K31" s="187">
        <v>652.79999999999995</v>
      </c>
      <c r="L31" s="187">
        <v>523.29999999999995</v>
      </c>
      <c r="M31" s="187">
        <v>668</v>
      </c>
      <c r="N31" s="187">
        <v>460.2</v>
      </c>
      <c r="O31" s="187">
        <v>571.9</v>
      </c>
      <c r="P31" s="187">
        <v>487.4</v>
      </c>
      <c r="Q31" s="187">
        <v>956.8</v>
      </c>
      <c r="R31" s="187">
        <v>572</v>
      </c>
      <c r="S31" s="196">
        <v>955.8</v>
      </c>
    </row>
    <row r="32" spans="2:19">
      <c r="B32" s="194">
        <v>1.6</v>
      </c>
      <c r="C32" s="195">
        <v>522</v>
      </c>
      <c r="D32" s="187">
        <v>522</v>
      </c>
      <c r="E32" s="187">
        <v>326.7</v>
      </c>
      <c r="F32" s="187">
        <v>477.3</v>
      </c>
      <c r="G32" s="187">
        <v>650.5</v>
      </c>
      <c r="H32" s="187">
        <v>763.5</v>
      </c>
      <c r="I32" s="187">
        <v>457</v>
      </c>
      <c r="J32" s="187">
        <v>954</v>
      </c>
      <c r="K32" s="187">
        <v>651.5</v>
      </c>
      <c r="L32" s="187">
        <v>522.29999999999995</v>
      </c>
      <c r="M32" s="187">
        <v>666.6</v>
      </c>
      <c r="N32" s="187">
        <v>459.4</v>
      </c>
      <c r="O32" s="187">
        <v>570.70000000000005</v>
      </c>
      <c r="P32" s="187">
        <v>486.6</v>
      </c>
      <c r="Q32" s="187">
        <v>954.8</v>
      </c>
      <c r="R32" s="187">
        <v>571</v>
      </c>
      <c r="S32" s="196">
        <v>953.8</v>
      </c>
    </row>
    <row r="33" spans="2:19">
      <c r="B33" s="194">
        <v>1.8</v>
      </c>
      <c r="C33" s="195">
        <v>521</v>
      </c>
      <c r="D33" s="187">
        <v>521</v>
      </c>
      <c r="E33" s="187">
        <v>326.10000000000002</v>
      </c>
      <c r="F33" s="187">
        <v>476.5</v>
      </c>
      <c r="G33" s="187">
        <v>649</v>
      </c>
      <c r="H33" s="187">
        <v>761.8</v>
      </c>
      <c r="I33" s="187">
        <v>456</v>
      </c>
      <c r="J33" s="187">
        <v>952</v>
      </c>
      <c r="K33" s="187">
        <v>650.1</v>
      </c>
      <c r="L33" s="187">
        <v>521.29999999999995</v>
      </c>
      <c r="M33" s="187">
        <v>665.2</v>
      </c>
      <c r="N33" s="187">
        <v>458.7</v>
      </c>
      <c r="O33" s="187">
        <v>569.4</v>
      </c>
      <c r="P33" s="187">
        <v>485.6</v>
      </c>
      <c r="Q33" s="187">
        <v>953.3</v>
      </c>
      <c r="R33" s="187">
        <v>569.9</v>
      </c>
      <c r="S33" s="196">
        <v>952.2</v>
      </c>
    </row>
    <row r="34" spans="2:19">
      <c r="B34" s="194">
        <v>2</v>
      </c>
      <c r="C34" s="195">
        <v>520</v>
      </c>
      <c r="D34" s="187">
        <v>519.79999999999995</v>
      </c>
      <c r="E34" s="187">
        <v>325.39999999999998</v>
      </c>
      <c r="F34" s="187">
        <v>475.7</v>
      </c>
      <c r="G34" s="187">
        <v>647.5</v>
      </c>
      <c r="H34" s="187">
        <v>760.1</v>
      </c>
      <c r="I34" s="187">
        <v>454.7</v>
      </c>
      <c r="J34" s="187">
        <v>950</v>
      </c>
      <c r="K34" s="187">
        <v>648.70000000000005</v>
      </c>
      <c r="L34" s="187">
        <v>520.20000000000005</v>
      </c>
      <c r="M34" s="187">
        <v>663.8</v>
      </c>
      <c r="N34" s="187">
        <v>457.9</v>
      </c>
      <c r="O34" s="187">
        <v>568.1</v>
      </c>
      <c r="P34" s="187">
        <v>484.6</v>
      </c>
      <c r="Q34" s="187">
        <v>951.6</v>
      </c>
      <c r="R34" s="187">
        <v>568.79999999999995</v>
      </c>
      <c r="S34" s="196">
        <v>950.2</v>
      </c>
    </row>
    <row r="35" spans="2:19">
      <c r="B35" s="194">
        <v>2.2000000000000002</v>
      </c>
      <c r="C35" s="195">
        <v>519</v>
      </c>
      <c r="D35" s="187">
        <v>518.6</v>
      </c>
      <c r="E35" s="187">
        <v>324.7</v>
      </c>
      <c r="F35" s="187">
        <v>474.8</v>
      </c>
      <c r="G35" s="187">
        <v>646</v>
      </c>
      <c r="H35" s="187">
        <v>758.3</v>
      </c>
      <c r="I35" s="187">
        <v>453.5</v>
      </c>
      <c r="J35" s="187">
        <v>948</v>
      </c>
      <c r="K35" s="187">
        <v>647.29999999999995</v>
      </c>
      <c r="L35" s="187">
        <v>518.9</v>
      </c>
      <c r="M35" s="187">
        <v>662.4</v>
      </c>
      <c r="N35" s="187">
        <v>456.9</v>
      </c>
      <c r="O35" s="187">
        <v>566.70000000000005</v>
      </c>
      <c r="P35" s="187">
        <v>483.7</v>
      </c>
      <c r="Q35" s="187">
        <v>949.8</v>
      </c>
      <c r="R35" s="187">
        <v>567.70000000000005</v>
      </c>
      <c r="S35" s="196">
        <v>948</v>
      </c>
    </row>
    <row r="36" spans="2:19">
      <c r="B36" s="194">
        <v>2.4</v>
      </c>
      <c r="C36" s="195">
        <v>518</v>
      </c>
      <c r="D36" s="187">
        <v>517.4</v>
      </c>
      <c r="E36" s="187">
        <v>324</v>
      </c>
      <c r="F36" s="187">
        <v>473.7</v>
      </c>
      <c r="G36" s="187">
        <v>644.5</v>
      </c>
      <c r="H36" s="187">
        <v>756.5</v>
      </c>
      <c r="I36" s="187">
        <v>452.5</v>
      </c>
      <c r="J36" s="187">
        <v>945.5</v>
      </c>
      <c r="K36" s="187">
        <v>645.9</v>
      </c>
      <c r="L36" s="187">
        <v>517.6</v>
      </c>
      <c r="M36" s="187">
        <v>661</v>
      </c>
      <c r="N36" s="187">
        <v>456</v>
      </c>
      <c r="O36" s="187">
        <v>565.4</v>
      </c>
      <c r="P36" s="187">
        <v>482.9</v>
      </c>
      <c r="Q36" s="187">
        <v>947.5</v>
      </c>
      <c r="R36" s="187">
        <v>566.6</v>
      </c>
      <c r="S36" s="196">
        <v>945.8</v>
      </c>
    </row>
    <row r="37" spans="2:19">
      <c r="B37" s="194">
        <v>2.5</v>
      </c>
      <c r="C37" s="195">
        <v>517</v>
      </c>
      <c r="D37" s="187">
        <v>516.29999999999995</v>
      </c>
      <c r="E37" s="187">
        <v>323.2</v>
      </c>
      <c r="F37" s="187">
        <v>472.5</v>
      </c>
      <c r="G37" s="187">
        <v>643.5</v>
      </c>
      <c r="H37" s="187">
        <v>754.6</v>
      </c>
      <c r="I37" s="187">
        <v>451.5</v>
      </c>
      <c r="J37" s="187">
        <v>943</v>
      </c>
      <c r="K37" s="187">
        <v>644.5</v>
      </c>
      <c r="L37" s="187">
        <v>516.29999999999995</v>
      </c>
      <c r="M37" s="187">
        <v>659.6</v>
      </c>
      <c r="N37" s="187">
        <v>455</v>
      </c>
      <c r="O37" s="187">
        <v>564</v>
      </c>
      <c r="P37" s="187">
        <v>482.2</v>
      </c>
      <c r="Q37" s="187">
        <v>945.3</v>
      </c>
      <c r="R37" s="187">
        <v>565.5</v>
      </c>
      <c r="S37" s="196">
        <v>943.5</v>
      </c>
    </row>
    <row r="38" spans="2:19">
      <c r="B38" s="194">
        <v>2.6</v>
      </c>
      <c r="C38" s="195">
        <v>516</v>
      </c>
      <c r="D38" s="187">
        <v>515.4</v>
      </c>
      <c r="E38" s="187">
        <v>322.5</v>
      </c>
      <c r="F38" s="187">
        <v>471.3</v>
      </c>
      <c r="G38" s="187">
        <v>642.5</v>
      </c>
      <c r="H38" s="187">
        <v>753.1</v>
      </c>
      <c r="I38" s="187">
        <v>450.5</v>
      </c>
      <c r="J38" s="187">
        <v>941</v>
      </c>
      <c r="K38" s="187">
        <v>643.1</v>
      </c>
      <c r="L38" s="187">
        <v>515.1</v>
      </c>
      <c r="M38" s="187">
        <v>658.1</v>
      </c>
      <c r="N38" s="187">
        <v>454</v>
      </c>
      <c r="O38" s="187">
        <v>562.9</v>
      </c>
      <c r="P38" s="187">
        <v>481.5</v>
      </c>
      <c r="Q38" s="187">
        <v>943.3</v>
      </c>
      <c r="R38" s="187">
        <v>564.4</v>
      </c>
      <c r="S38" s="196">
        <v>941.2</v>
      </c>
    </row>
    <row r="39" spans="2:19">
      <c r="B39" s="194">
        <v>2.8</v>
      </c>
      <c r="C39" s="195">
        <v>515</v>
      </c>
      <c r="D39" s="187">
        <v>514.6</v>
      </c>
      <c r="E39" s="187">
        <v>321.8</v>
      </c>
      <c r="F39" s="187">
        <v>470.5</v>
      </c>
      <c r="G39" s="187">
        <v>641</v>
      </c>
      <c r="H39" s="187">
        <v>751.6</v>
      </c>
      <c r="I39" s="187">
        <v>449.5</v>
      </c>
      <c r="J39" s="187">
        <v>939</v>
      </c>
      <c r="K39" s="187">
        <v>641.70000000000005</v>
      </c>
      <c r="L39" s="187">
        <v>514.20000000000005</v>
      </c>
      <c r="M39" s="187">
        <v>657</v>
      </c>
      <c r="N39" s="187">
        <v>453</v>
      </c>
      <c r="O39" s="187">
        <v>561.79999999999995</v>
      </c>
      <c r="P39" s="187">
        <v>480.8</v>
      </c>
      <c r="Q39" s="187">
        <v>941.4</v>
      </c>
      <c r="R39" s="187">
        <v>563.29999999999995</v>
      </c>
      <c r="S39" s="196">
        <v>939</v>
      </c>
    </row>
    <row r="40" spans="2:19">
      <c r="B40" s="194">
        <v>3</v>
      </c>
      <c r="C40" s="195">
        <v>514</v>
      </c>
      <c r="D40" s="187">
        <v>513.6</v>
      </c>
      <c r="E40" s="187">
        <v>321.10000000000002</v>
      </c>
      <c r="F40" s="187">
        <v>469.5</v>
      </c>
      <c r="G40" s="187">
        <v>639.79999999999995</v>
      </c>
      <c r="H40" s="187">
        <v>750</v>
      </c>
      <c r="I40" s="187">
        <v>448.5</v>
      </c>
      <c r="J40" s="187">
        <v>937</v>
      </c>
      <c r="K40" s="187">
        <v>640.29999999999995</v>
      </c>
      <c r="L40" s="187">
        <v>513.29999999999995</v>
      </c>
      <c r="M40" s="187">
        <v>655.8</v>
      </c>
      <c r="N40" s="187">
        <v>452</v>
      </c>
      <c r="O40" s="187">
        <v>560.70000000000005</v>
      </c>
      <c r="P40" s="187">
        <v>479.8</v>
      </c>
      <c r="Q40" s="187">
        <v>939.5</v>
      </c>
      <c r="R40" s="187">
        <v>562.20000000000005</v>
      </c>
      <c r="S40" s="196">
        <v>936.8</v>
      </c>
    </row>
    <row r="41" spans="2:19">
      <c r="B41" s="194">
        <v>3.2</v>
      </c>
      <c r="C41" s="195">
        <v>513</v>
      </c>
      <c r="D41" s="187">
        <v>512.5</v>
      </c>
      <c r="E41" s="187">
        <v>320.60000000000002</v>
      </c>
      <c r="F41" s="187">
        <v>468.8</v>
      </c>
      <c r="G41" s="187">
        <v>638.6</v>
      </c>
      <c r="H41" s="187">
        <v>748.9</v>
      </c>
      <c r="I41" s="187">
        <v>448</v>
      </c>
      <c r="J41" s="187">
        <v>935</v>
      </c>
      <c r="K41" s="187">
        <v>638.9</v>
      </c>
      <c r="L41" s="187">
        <v>512.6</v>
      </c>
      <c r="M41" s="187">
        <v>654.29999999999995</v>
      </c>
      <c r="N41" s="187">
        <v>451.1</v>
      </c>
      <c r="O41" s="187">
        <v>559.6</v>
      </c>
      <c r="P41" s="187">
        <v>479</v>
      </c>
      <c r="Q41" s="187">
        <v>937.9</v>
      </c>
      <c r="R41" s="187">
        <v>561.1</v>
      </c>
      <c r="S41" s="196">
        <v>935.2</v>
      </c>
    </row>
    <row r="42" spans="2:19">
      <c r="B42" s="194">
        <v>3.4</v>
      </c>
      <c r="C42" s="195">
        <v>512</v>
      </c>
      <c r="D42" s="187">
        <v>511.6</v>
      </c>
      <c r="E42" s="187">
        <v>320</v>
      </c>
      <c r="F42" s="187">
        <v>468</v>
      </c>
      <c r="G42" s="187">
        <v>637.29999999999995</v>
      </c>
      <c r="H42" s="187">
        <v>747.8</v>
      </c>
      <c r="I42" s="187">
        <v>447</v>
      </c>
      <c r="J42" s="187">
        <v>933</v>
      </c>
      <c r="K42" s="187">
        <v>637.29999999999995</v>
      </c>
      <c r="L42" s="187">
        <v>511.8</v>
      </c>
      <c r="M42" s="187">
        <v>653.20000000000005</v>
      </c>
      <c r="N42" s="187">
        <v>450.4</v>
      </c>
      <c r="O42" s="187">
        <v>558.5</v>
      </c>
      <c r="P42" s="187">
        <v>478</v>
      </c>
      <c r="Q42" s="187">
        <v>936.4</v>
      </c>
      <c r="R42" s="187">
        <v>560</v>
      </c>
      <c r="S42" s="196">
        <v>933.6</v>
      </c>
    </row>
    <row r="43" spans="2:19">
      <c r="B43" s="194">
        <v>3.6</v>
      </c>
      <c r="C43" s="195">
        <v>511</v>
      </c>
      <c r="D43" s="187">
        <v>510.6</v>
      </c>
      <c r="E43" s="187">
        <v>319.5</v>
      </c>
      <c r="F43" s="187">
        <v>467.2</v>
      </c>
      <c r="G43" s="187">
        <v>635.9</v>
      </c>
      <c r="H43" s="187">
        <v>746.3</v>
      </c>
      <c r="I43" s="187">
        <v>446</v>
      </c>
      <c r="J43" s="187">
        <v>931</v>
      </c>
      <c r="K43" s="187">
        <v>635.9</v>
      </c>
      <c r="L43" s="187">
        <v>510.8</v>
      </c>
      <c r="M43" s="187">
        <v>651.9</v>
      </c>
      <c r="N43" s="187">
        <v>449.6</v>
      </c>
      <c r="O43" s="187">
        <v>557.4</v>
      </c>
      <c r="P43" s="187">
        <v>477</v>
      </c>
      <c r="Q43" s="187">
        <v>934.4</v>
      </c>
      <c r="R43" s="187">
        <v>558.9</v>
      </c>
      <c r="S43" s="196">
        <v>931.6</v>
      </c>
    </row>
    <row r="44" spans="2:19">
      <c r="B44" s="194">
        <v>3.8</v>
      </c>
      <c r="C44" s="195">
        <v>510</v>
      </c>
      <c r="D44" s="187">
        <v>509.5</v>
      </c>
      <c r="E44" s="187">
        <v>318.89999999999998</v>
      </c>
      <c r="F44" s="187">
        <v>466.2</v>
      </c>
      <c r="G44" s="187">
        <v>634.4</v>
      </c>
      <c r="H44" s="187">
        <v>744.5</v>
      </c>
      <c r="I44" s="187">
        <v>445</v>
      </c>
      <c r="J44" s="187">
        <v>929</v>
      </c>
      <c r="K44" s="187">
        <v>634.5</v>
      </c>
      <c r="L44" s="187">
        <v>509.7</v>
      </c>
      <c r="M44" s="187">
        <v>650.6</v>
      </c>
      <c r="N44" s="187">
        <v>448.6</v>
      </c>
      <c r="O44" s="187">
        <v>556.29999999999995</v>
      </c>
      <c r="P44" s="187">
        <v>476</v>
      </c>
      <c r="Q44" s="187">
        <v>932.6</v>
      </c>
      <c r="R44" s="187">
        <v>557.79999999999995</v>
      </c>
      <c r="S44" s="196">
        <v>929.5</v>
      </c>
    </row>
    <row r="45" spans="2:19">
      <c r="B45" s="194">
        <v>4</v>
      </c>
      <c r="C45" s="195">
        <v>509</v>
      </c>
      <c r="D45" s="187">
        <v>508.5</v>
      </c>
      <c r="E45" s="187">
        <v>318.3</v>
      </c>
      <c r="F45" s="187">
        <v>465.4</v>
      </c>
      <c r="G45" s="187">
        <v>633</v>
      </c>
      <c r="H45" s="187">
        <v>742.9</v>
      </c>
      <c r="I45" s="187">
        <v>444</v>
      </c>
      <c r="J45" s="187">
        <v>927</v>
      </c>
      <c r="K45" s="187">
        <v>633.1</v>
      </c>
      <c r="L45" s="187">
        <v>508.4</v>
      </c>
      <c r="M45" s="187">
        <v>649.29999999999995</v>
      </c>
      <c r="N45" s="187">
        <v>447.9</v>
      </c>
      <c r="O45" s="187">
        <v>555.20000000000005</v>
      </c>
      <c r="P45" s="187">
        <v>475.3</v>
      </c>
      <c r="Q45" s="187">
        <v>931</v>
      </c>
      <c r="R45" s="187">
        <v>556.70000000000005</v>
      </c>
      <c r="S45" s="196">
        <v>927.6</v>
      </c>
    </row>
    <row r="46" spans="2:19">
      <c r="B46" s="194">
        <v>4.3</v>
      </c>
      <c r="C46" s="195">
        <v>508</v>
      </c>
      <c r="D46" s="187">
        <v>507.3</v>
      </c>
      <c r="E46" s="187">
        <v>317.8</v>
      </c>
      <c r="F46" s="187">
        <v>464.7</v>
      </c>
      <c r="G46" s="187">
        <v>631.6</v>
      </c>
      <c r="H46" s="187">
        <v>741.3</v>
      </c>
      <c r="I46" s="187">
        <v>443</v>
      </c>
      <c r="J46" s="187">
        <v>925.2</v>
      </c>
      <c r="K46" s="187">
        <v>631.70000000000005</v>
      </c>
      <c r="L46" s="187">
        <v>507.1</v>
      </c>
      <c r="M46" s="187">
        <v>648</v>
      </c>
      <c r="N46" s="187">
        <v>447.2</v>
      </c>
      <c r="O46" s="187">
        <v>554.1</v>
      </c>
      <c r="P46" s="187">
        <v>474.6</v>
      </c>
      <c r="Q46" s="187">
        <v>929.5</v>
      </c>
      <c r="R46" s="187">
        <v>555.6</v>
      </c>
      <c r="S46" s="196">
        <v>925.6</v>
      </c>
    </row>
    <row r="47" spans="2:19">
      <c r="B47" s="194">
        <v>4.5</v>
      </c>
      <c r="C47" s="195">
        <v>507</v>
      </c>
      <c r="D47" s="187">
        <v>506.1</v>
      </c>
      <c r="E47" s="187">
        <v>317.10000000000002</v>
      </c>
      <c r="F47" s="187">
        <v>463.7</v>
      </c>
      <c r="G47" s="187">
        <v>630.4</v>
      </c>
      <c r="H47" s="187">
        <v>739.8</v>
      </c>
      <c r="I47" s="187">
        <v>442.5</v>
      </c>
      <c r="J47" s="187">
        <v>923.6</v>
      </c>
      <c r="K47" s="187">
        <v>630.5</v>
      </c>
      <c r="L47" s="187">
        <v>506.1</v>
      </c>
      <c r="M47" s="187">
        <v>647</v>
      </c>
      <c r="N47" s="187">
        <v>446.3</v>
      </c>
      <c r="O47" s="187">
        <v>553</v>
      </c>
      <c r="P47" s="187">
        <v>473.6</v>
      </c>
      <c r="Q47" s="187">
        <v>927.7</v>
      </c>
      <c r="R47" s="187">
        <v>554.5</v>
      </c>
      <c r="S47" s="196">
        <v>923.4</v>
      </c>
    </row>
    <row r="48" spans="2:19">
      <c r="B48" s="194">
        <v>4.7</v>
      </c>
      <c r="C48" s="195">
        <v>506</v>
      </c>
      <c r="D48" s="187">
        <v>505</v>
      </c>
      <c r="E48" s="187">
        <v>316.39999999999998</v>
      </c>
      <c r="F48" s="187">
        <v>462.7</v>
      </c>
      <c r="G48" s="187">
        <v>629</v>
      </c>
      <c r="H48" s="187">
        <v>738.6</v>
      </c>
      <c r="I48" s="187">
        <v>441.5</v>
      </c>
      <c r="J48" s="187">
        <v>921.8</v>
      </c>
      <c r="K48" s="187">
        <v>629.29999999999995</v>
      </c>
      <c r="L48" s="187">
        <v>505</v>
      </c>
      <c r="M48" s="187">
        <v>645.9</v>
      </c>
      <c r="N48" s="187">
        <v>445.4</v>
      </c>
      <c r="O48" s="187">
        <v>552</v>
      </c>
      <c r="P48" s="187">
        <v>472.8</v>
      </c>
      <c r="Q48" s="187">
        <v>925.6</v>
      </c>
      <c r="R48" s="187">
        <v>553.4</v>
      </c>
      <c r="S48" s="196">
        <v>921.4</v>
      </c>
    </row>
    <row r="49" spans="2:19">
      <c r="B49" s="194">
        <v>5</v>
      </c>
      <c r="C49" s="195">
        <v>505</v>
      </c>
      <c r="D49" s="187">
        <v>504.1</v>
      </c>
      <c r="E49" s="187">
        <v>315.7</v>
      </c>
      <c r="F49" s="187">
        <v>461.8</v>
      </c>
      <c r="G49" s="187">
        <v>627.79999999999995</v>
      </c>
      <c r="H49" s="187">
        <v>737.2</v>
      </c>
      <c r="I49" s="187">
        <v>440.8</v>
      </c>
      <c r="J49" s="187">
        <v>919.9</v>
      </c>
      <c r="K49" s="187">
        <v>628.1</v>
      </c>
      <c r="L49" s="187">
        <v>504</v>
      </c>
      <c r="M49" s="187">
        <v>644.9</v>
      </c>
      <c r="N49" s="187">
        <v>444.4</v>
      </c>
      <c r="O49" s="187">
        <v>551</v>
      </c>
      <c r="P49" s="187">
        <v>472.1</v>
      </c>
      <c r="Q49" s="187">
        <v>923.9</v>
      </c>
      <c r="R49" s="187">
        <v>552.29999999999995</v>
      </c>
      <c r="S49" s="196">
        <v>920</v>
      </c>
    </row>
    <row r="50" spans="2:19">
      <c r="B50" s="194">
        <v>5.3</v>
      </c>
      <c r="C50" s="195">
        <v>504</v>
      </c>
      <c r="D50" s="187">
        <v>503.1</v>
      </c>
      <c r="E50" s="187">
        <v>315.2</v>
      </c>
      <c r="F50" s="187">
        <v>460.8</v>
      </c>
      <c r="G50" s="187">
        <v>626.70000000000005</v>
      </c>
      <c r="H50" s="187">
        <v>735.6</v>
      </c>
      <c r="I50" s="187">
        <v>439.8</v>
      </c>
      <c r="J50" s="187">
        <v>918.1</v>
      </c>
      <c r="K50" s="187">
        <v>626.9</v>
      </c>
      <c r="L50" s="187">
        <v>503</v>
      </c>
      <c r="M50" s="187">
        <v>643.5</v>
      </c>
      <c r="N50" s="187">
        <v>443.5</v>
      </c>
      <c r="O50" s="187">
        <v>550</v>
      </c>
      <c r="P50" s="187">
        <v>471.4</v>
      </c>
      <c r="Q50" s="187">
        <v>922</v>
      </c>
      <c r="R50" s="187">
        <v>551.20000000000005</v>
      </c>
      <c r="S50" s="196">
        <v>918.1</v>
      </c>
    </row>
    <row r="51" spans="2:19">
      <c r="B51" s="194">
        <v>5.7</v>
      </c>
      <c r="C51" s="195">
        <v>503</v>
      </c>
      <c r="D51" s="187">
        <v>502</v>
      </c>
      <c r="E51" s="187">
        <v>314.5</v>
      </c>
      <c r="F51" s="187">
        <v>459.9</v>
      </c>
      <c r="G51" s="187">
        <v>625.70000000000005</v>
      </c>
      <c r="H51" s="187">
        <v>734.2</v>
      </c>
      <c r="I51" s="187">
        <v>439</v>
      </c>
      <c r="J51" s="187">
        <v>916.2</v>
      </c>
      <c r="K51" s="187">
        <v>625.70000000000005</v>
      </c>
      <c r="L51" s="187">
        <v>502</v>
      </c>
      <c r="M51" s="187">
        <v>642</v>
      </c>
      <c r="N51" s="187">
        <v>442.6</v>
      </c>
      <c r="O51" s="187">
        <v>548.9</v>
      </c>
      <c r="P51" s="187">
        <v>470.6</v>
      </c>
      <c r="Q51" s="187">
        <v>920</v>
      </c>
      <c r="R51" s="187">
        <v>550.1</v>
      </c>
      <c r="S51" s="196">
        <v>916.1</v>
      </c>
    </row>
    <row r="52" spans="2:19">
      <c r="B52" s="194">
        <v>6</v>
      </c>
      <c r="C52" s="195">
        <v>502</v>
      </c>
      <c r="D52" s="187">
        <v>501.2</v>
      </c>
      <c r="E52" s="187">
        <v>313.89999999999998</v>
      </c>
      <c r="F52" s="187">
        <v>459.1</v>
      </c>
      <c r="G52" s="187">
        <v>624.20000000000005</v>
      </c>
      <c r="H52" s="187">
        <v>732.7</v>
      </c>
      <c r="I52" s="187">
        <v>438</v>
      </c>
      <c r="J52" s="187">
        <v>914</v>
      </c>
      <c r="K52" s="187">
        <v>624.29999999999995</v>
      </c>
      <c r="L52" s="187">
        <v>501.1</v>
      </c>
      <c r="M52" s="187">
        <v>640.5</v>
      </c>
      <c r="N52" s="187">
        <v>441.8</v>
      </c>
      <c r="O52" s="187">
        <v>547.6</v>
      </c>
      <c r="P52" s="187">
        <v>469.9</v>
      </c>
      <c r="Q52" s="187">
        <v>918.3</v>
      </c>
      <c r="R52" s="187">
        <v>549</v>
      </c>
      <c r="S52" s="196">
        <v>914</v>
      </c>
    </row>
    <row r="53" spans="2:19">
      <c r="B53" s="194">
        <v>6.3</v>
      </c>
      <c r="C53" s="195">
        <v>501</v>
      </c>
      <c r="D53" s="187">
        <v>500.4</v>
      </c>
      <c r="E53" s="187">
        <v>313.2</v>
      </c>
      <c r="F53" s="187">
        <v>458.1</v>
      </c>
      <c r="G53" s="187">
        <v>622.9</v>
      </c>
      <c r="H53" s="187">
        <v>731.1</v>
      </c>
      <c r="I53" s="187">
        <v>437</v>
      </c>
      <c r="J53" s="187">
        <v>912</v>
      </c>
      <c r="K53" s="187">
        <v>622.9</v>
      </c>
      <c r="L53" s="187">
        <v>500.3</v>
      </c>
      <c r="M53" s="187">
        <v>639.1</v>
      </c>
      <c r="N53" s="187">
        <v>440.8</v>
      </c>
      <c r="O53" s="187">
        <v>546.4</v>
      </c>
      <c r="P53" s="187">
        <v>469.1</v>
      </c>
      <c r="Q53" s="187">
        <v>916.4</v>
      </c>
      <c r="R53" s="187">
        <v>548</v>
      </c>
      <c r="S53" s="196">
        <v>912.5</v>
      </c>
    </row>
    <row r="54" spans="2:19">
      <c r="B54" s="194">
        <v>6.7</v>
      </c>
      <c r="C54" s="195">
        <v>500</v>
      </c>
      <c r="D54" s="187">
        <v>499.5</v>
      </c>
      <c r="E54" s="187">
        <v>312.7</v>
      </c>
      <c r="F54" s="187">
        <v>457.3</v>
      </c>
      <c r="G54" s="187">
        <v>621.79999999999995</v>
      </c>
      <c r="H54" s="187">
        <v>729.5</v>
      </c>
      <c r="I54" s="187">
        <v>436</v>
      </c>
      <c r="J54" s="187">
        <v>910</v>
      </c>
      <c r="K54" s="187">
        <v>621.9</v>
      </c>
      <c r="L54" s="187">
        <v>499.3</v>
      </c>
      <c r="M54" s="187">
        <v>638</v>
      </c>
      <c r="N54" s="187">
        <v>440.1</v>
      </c>
      <c r="O54" s="187">
        <v>545.4</v>
      </c>
      <c r="P54" s="187">
        <v>468.4</v>
      </c>
      <c r="Q54" s="187">
        <v>914.9</v>
      </c>
      <c r="R54" s="187">
        <v>547</v>
      </c>
      <c r="S54" s="196">
        <v>910.9</v>
      </c>
    </row>
    <row r="55" spans="2:19">
      <c r="B55" s="194">
        <v>7</v>
      </c>
      <c r="C55" s="195">
        <v>499</v>
      </c>
      <c r="D55" s="187">
        <v>498.6</v>
      </c>
      <c r="E55" s="187">
        <v>311.89999999999998</v>
      </c>
      <c r="F55" s="187">
        <v>456.3</v>
      </c>
      <c r="G55" s="187">
        <v>620.29999999999995</v>
      </c>
      <c r="H55" s="187">
        <v>727.8</v>
      </c>
      <c r="I55" s="187">
        <v>435</v>
      </c>
      <c r="J55" s="187">
        <v>908</v>
      </c>
      <c r="K55" s="187">
        <v>620.29999999999995</v>
      </c>
      <c r="L55" s="187">
        <v>498.1</v>
      </c>
      <c r="M55" s="187">
        <v>636.29999999999995</v>
      </c>
      <c r="N55" s="187">
        <v>439.2</v>
      </c>
      <c r="O55" s="187">
        <v>544.1</v>
      </c>
      <c r="P55" s="187">
        <v>467.4</v>
      </c>
      <c r="Q55" s="187">
        <v>912.9</v>
      </c>
      <c r="R55" s="187">
        <v>546</v>
      </c>
      <c r="S55" s="196">
        <v>908.8</v>
      </c>
    </row>
    <row r="56" spans="2:19">
      <c r="B56" s="194">
        <v>7.3</v>
      </c>
      <c r="C56" s="195">
        <v>498</v>
      </c>
      <c r="D56" s="187">
        <v>497.5</v>
      </c>
      <c r="E56" s="187">
        <v>311.39999999999998</v>
      </c>
      <c r="F56" s="187">
        <v>455.4</v>
      </c>
      <c r="G56" s="187">
        <v>618.79999999999995</v>
      </c>
      <c r="H56" s="187">
        <v>726.1</v>
      </c>
      <c r="I56" s="187">
        <v>434.2</v>
      </c>
      <c r="J56" s="187">
        <v>906</v>
      </c>
      <c r="K56" s="187">
        <v>618.70000000000005</v>
      </c>
      <c r="L56" s="187">
        <v>497.1</v>
      </c>
      <c r="M56" s="187">
        <v>634.9</v>
      </c>
      <c r="N56" s="187">
        <v>438.3</v>
      </c>
      <c r="O56" s="187">
        <v>542.9</v>
      </c>
      <c r="P56" s="187">
        <v>466.6</v>
      </c>
      <c r="Q56" s="187">
        <v>910.9</v>
      </c>
      <c r="R56" s="187">
        <v>545</v>
      </c>
      <c r="S56" s="196">
        <v>906.8</v>
      </c>
    </row>
    <row r="57" spans="2:19">
      <c r="B57" s="194">
        <v>7.7</v>
      </c>
      <c r="C57" s="195">
        <v>497</v>
      </c>
      <c r="D57" s="187">
        <v>496.3</v>
      </c>
      <c r="E57" s="187">
        <v>310.7</v>
      </c>
      <c r="F57" s="187">
        <v>454.3</v>
      </c>
      <c r="G57" s="187">
        <v>617.29999999999995</v>
      </c>
      <c r="H57" s="187">
        <v>724.6</v>
      </c>
      <c r="I57" s="187">
        <v>433.4</v>
      </c>
      <c r="J57" s="187">
        <v>904</v>
      </c>
      <c r="K57" s="187">
        <v>617.5</v>
      </c>
      <c r="L57" s="187">
        <v>496.2</v>
      </c>
      <c r="M57" s="187">
        <v>633.6</v>
      </c>
      <c r="N57" s="187">
        <v>437.3</v>
      </c>
      <c r="O57" s="187">
        <v>541.79999999999995</v>
      </c>
      <c r="P57" s="187">
        <v>465.9</v>
      </c>
      <c r="Q57" s="187">
        <v>908.9</v>
      </c>
      <c r="R57" s="187">
        <v>544</v>
      </c>
      <c r="S57" s="196">
        <v>905</v>
      </c>
    </row>
    <row r="58" spans="2:19">
      <c r="B58" s="194">
        <v>8</v>
      </c>
      <c r="C58" s="195">
        <v>496</v>
      </c>
      <c r="D58" s="187">
        <v>495.3</v>
      </c>
      <c r="E58" s="187">
        <v>310</v>
      </c>
      <c r="F58" s="187">
        <v>453.3</v>
      </c>
      <c r="G58" s="187">
        <v>615.79999999999995</v>
      </c>
      <c r="H58" s="187">
        <v>723</v>
      </c>
      <c r="I58" s="187">
        <v>432.3</v>
      </c>
      <c r="J58" s="187">
        <v>902</v>
      </c>
      <c r="K58" s="187">
        <v>615.79999999999995</v>
      </c>
      <c r="L58" s="187">
        <v>495.3</v>
      </c>
      <c r="M58" s="187">
        <v>632.20000000000005</v>
      </c>
      <c r="N58" s="187">
        <v>436.3</v>
      </c>
      <c r="O58" s="187">
        <v>540.5</v>
      </c>
      <c r="P58" s="187">
        <v>464.9</v>
      </c>
      <c r="Q58" s="187">
        <v>906.8</v>
      </c>
      <c r="R58" s="187">
        <v>543</v>
      </c>
      <c r="S58" s="196">
        <v>903.1</v>
      </c>
    </row>
    <row r="59" spans="2:19">
      <c r="B59" s="194">
        <v>8.3000000000000007</v>
      </c>
      <c r="C59" s="195">
        <v>495</v>
      </c>
      <c r="D59" s="187">
        <v>494.4</v>
      </c>
      <c r="E59" s="187">
        <v>309.5</v>
      </c>
      <c r="F59" s="187">
        <v>452.6</v>
      </c>
      <c r="G59" s="187">
        <v>614.5</v>
      </c>
      <c r="H59" s="187">
        <v>721.8</v>
      </c>
      <c r="I59" s="187">
        <v>431.2</v>
      </c>
      <c r="J59" s="187">
        <v>900</v>
      </c>
      <c r="K59" s="187">
        <v>614.79999999999995</v>
      </c>
      <c r="L59" s="187">
        <v>494.3</v>
      </c>
      <c r="M59" s="187">
        <v>631</v>
      </c>
      <c r="N59" s="187">
        <v>435.6</v>
      </c>
      <c r="O59" s="187">
        <v>539.5</v>
      </c>
      <c r="P59" s="187">
        <v>464.2</v>
      </c>
      <c r="Q59" s="187">
        <v>905.4</v>
      </c>
      <c r="R59" s="187">
        <v>542</v>
      </c>
      <c r="S59" s="196">
        <v>901.6</v>
      </c>
    </row>
    <row r="60" spans="2:19">
      <c r="B60" s="194">
        <v>8.6999999999999993</v>
      </c>
      <c r="C60" s="195">
        <v>494</v>
      </c>
      <c r="D60" s="187">
        <v>493.5</v>
      </c>
      <c r="E60" s="187">
        <v>309</v>
      </c>
      <c r="F60" s="187">
        <v>451.8</v>
      </c>
      <c r="G60" s="187">
        <v>613.29999999999995</v>
      </c>
      <c r="H60" s="187">
        <v>720.3</v>
      </c>
      <c r="I60" s="187">
        <v>430.5</v>
      </c>
      <c r="J60" s="187">
        <v>898</v>
      </c>
      <c r="K60" s="187">
        <v>613.6</v>
      </c>
      <c r="L60" s="187">
        <v>493.2</v>
      </c>
      <c r="M60" s="187">
        <v>629.9</v>
      </c>
      <c r="N60" s="187">
        <v>434.8</v>
      </c>
      <c r="O60" s="187">
        <v>538.5</v>
      </c>
      <c r="P60" s="187">
        <v>463.5</v>
      </c>
      <c r="Q60" s="187">
        <v>903.7</v>
      </c>
      <c r="R60" s="187">
        <v>541</v>
      </c>
      <c r="S60" s="196">
        <v>900.1</v>
      </c>
    </row>
    <row r="61" spans="2:19">
      <c r="B61" s="194">
        <v>9</v>
      </c>
      <c r="C61" s="195">
        <v>493</v>
      </c>
      <c r="D61" s="187">
        <v>492.4</v>
      </c>
      <c r="E61" s="187">
        <v>308.2</v>
      </c>
      <c r="F61" s="187">
        <v>450.7</v>
      </c>
      <c r="G61" s="187">
        <v>612.29999999999995</v>
      </c>
      <c r="H61" s="187">
        <v>718.8</v>
      </c>
      <c r="I61" s="187">
        <v>429.6</v>
      </c>
      <c r="J61" s="187">
        <v>896</v>
      </c>
      <c r="K61" s="187">
        <v>612.5</v>
      </c>
      <c r="L61" s="187">
        <v>492.2</v>
      </c>
      <c r="M61" s="187">
        <v>628.5</v>
      </c>
      <c r="N61" s="187">
        <v>433.8</v>
      </c>
      <c r="O61" s="187">
        <v>537.4</v>
      </c>
      <c r="P61" s="187">
        <v>462.8</v>
      </c>
      <c r="Q61" s="187">
        <v>901.8</v>
      </c>
      <c r="R61" s="187">
        <v>540</v>
      </c>
      <c r="S61" s="196">
        <v>897.7</v>
      </c>
    </row>
    <row r="62" spans="2:19">
      <c r="B62" s="194">
        <v>9.3000000000000007</v>
      </c>
      <c r="C62" s="195">
        <v>492</v>
      </c>
      <c r="D62" s="187">
        <v>491.2</v>
      </c>
      <c r="E62" s="187">
        <v>307.7</v>
      </c>
      <c r="F62" s="187">
        <v>449.9</v>
      </c>
      <c r="G62" s="187">
        <v>611</v>
      </c>
      <c r="H62" s="187">
        <v>717.2</v>
      </c>
      <c r="I62" s="187">
        <v>428.7</v>
      </c>
      <c r="J62" s="187">
        <v>894</v>
      </c>
      <c r="K62" s="187">
        <v>611.4</v>
      </c>
      <c r="L62" s="187">
        <v>491.2</v>
      </c>
      <c r="M62" s="187">
        <v>627.29999999999995</v>
      </c>
      <c r="N62" s="187">
        <v>433.1</v>
      </c>
      <c r="O62" s="187">
        <v>536.29999999999995</v>
      </c>
      <c r="P62" s="187">
        <v>462</v>
      </c>
      <c r="Q62" s="187">
        <v>900.1</v>
      </c>
      <c r="R62" s="187">
        <v>539</v>
      </c>
      <c r="S62" s="196">
        <v>895.3</v>
      </c>
    </row>
    <row r="63" spans="2:19">
      <c r="B63" s="194">
        <v>9.6999999999999993</v>
      </c>
      <c r="C63" s="195">
        <v>491</v>
      </c>
      <c r="D63" s="187">
        <v>490.4</v>
      </c>
      <c r="E63" s="187">
        <v>307</v>
      </c>
      <c r="F63" s="187">
        <v>448.9</v>
      </c>
      <c r="G63" s="187">
        <v>609.70000000000005</v>
      </c>
      <c r="H63" s="187">
        <v>715.6</v>
      </c>
      <c r="I63" s="187">
        <v>427.6</v>
      </c>
      <c r="J63" s="187">
        <v>892</v>
      </c>
      <c r="K63" s="187">
        <v>609.70000000000005</v>
      </c>
      <c r="L63" s="187">
        <v>490</v>
      </c>
      <c r="M63" s="187">
        <v>625.4</v>
      </c>
      <c r="N63" s="187">
        <v>432.1</v>
      </c>
      <c r="O63" s="187">
        <v>535.1</v>
      </c>
      <c r="P63" s="187">
        <v>461</v>
      </c>
      <c r="Q63" s="187">
        <v>898</v>
      </c>
      <c r="R63" s="187">
        <v>538</v>
      </c>
      <c r="S63" s="196">
        <v>893.1</v>
      </c>
    </row>
    <row r="64" spans="2:19">
      <c r="B64" s="194">
        <v>10</v>
      </c>
      <c r="C64" s="195">
        <v>490</v>
      </c>
      <c r="D64" s="187">
        <v>489.4</v>
      </c>
      <c r="E64" s="187">
        <v>306.5</v>
      </c>
      <c r="F64" s="187">
        <v>448.1</v>
      </c>
      <c r="G64" s="187">
        <v>608.5</v>
      </c>
      <c r="H64" s="187">
        <v>714.2</v>
      </c>
      <c r="I64" s="187">
        <v>426.7</v>
      </c>
      <c r="J64" s="187">
        <v>890</v>
      </c>
      <c r="K64" s="187">
        <v>608.6</v>
      </c>
      <c r="L64" s="187">
        <v>488.9</v>
      </c>
      <c r="M64" s="187">
        <v>624.29999999999995</v>
      </c>
      <c r="N64" s="187">
        <v>431.1</v>
      </c>
      <c r="O64" s="187">
        <v>534</v>
      </c>
      <c r="P64" s="187">
        <v>460.1</v>
      </c>
      <c r="Q64" s="187">
        <v>896</v>
      </c>
      <c r="R64" s="187">
        <v>537</v>
      </c>
      <c r="S64" s="196">
        <v>891.6</v>
      </c>
    </row>
    <row r="65" spans="2:19">
      <c r="B65" s="194">
        <v>10.3</v>
      </c>
      <c r="C65" s="195">
        <v>489</v>
      </c>
      <c r="D65" s="187">
        <v>488.2</v>
      </c>
      <c r="E65" s="187">
        <v>305.8</v>
      </c>
      <c r="F65" s="187">
        <v>447</v>
      </c>
      <c r="G65" s="187">
        <v>607.1</v>
      </c>
      <c r="H65" s="187">
        <v>712.6</v>
      </c>
      <c r="I65" s="187">
        <v>425.6</v>
      </c>
      <c r="J65" s="187">
        <v>888</v>
      </c>
      <c r="K65" s="187">
        <v>607.1</v>
      </c>
      <c r="L65" s="187">
        <v>487.9</v>
      </c>
      <c r="M65" s="187">
        <v>622.6</v>
      </c>
      <c r="N65" s="187">
        <v>430</v>
      </c>
      <c r="O65" s="187">
        <v>532.79999999999995</v>
      </c>
      <c r="P65" s="187">
        <v>459.2</v>
      </c>
      <c r="Q65" s="187">
        <v>893.9</v>
      </c>
      <c r="R65" s="187">
        <v>536</v>
      </c>
      <c r="S65" s="196">
        <v>889.7</v>
      </c>
    </row>
    <row r="66" spans="2:19">
      <c r="B66" s="194">
        <v>10.7</v>
      </c>
      <c r="C66" s="195">
        <v>488</v>
      </c>
      <c r="D66" s="187">
        <v>487</v>
      </c>
      <c r="E66" s="187">
        <v>305</v>
      </c>
      <c r="F66" s="187">
        <v>445.7</v>
      </c>
      <c r="G66" s="187">
        <v>605.6</v>
      </c>
      <c r="H66" s="187">
        <v>711.1</v>
      </c>
      <c r="I66" s="187">
        <v>424.6</v>
      </c>
      <c r="J66" s="187">
        <v>886</v>
      </c>
      <c r="K66" s="187">
        <v>605.6</v>
      </c>
      <c r="L66" s="187">
        <v>486.9</v>
      </c>
      <c r="M66" s="187">
        <v>621.1</v>
      </c>
      <c r="N66" s="187">
        <v>429</v>
      </c>
      <c r="O66" s="187">
        <v>531.79999999999995</v>
      </c>
      <c r="P66" s="187">
        <v>458.4</v>
      </c>
      <c r="Q66" s="187">
        <v>891.9</v>
      </c>
      <c r="R66" s="187">
        <v>535</v>
      </c>
      <c r="S66" s="196">
        <v>887.3</v>
      </c>
    </row>
    <row r="67" spans="2:19">
      <c r="B67" s="194">
        <v>11</v>
      </c>
      <c r="C67" s="195">
        <v>487</v>
      </c>
      <c r="D67" s="187">
        <v>485.9</v>
      </c>
      <c r="E67" s="187">
        <v>304.2</v>
      </c>
      <c r="F67" s="187">
        <v>444.8</v>
      </c>
      <c r="G67" s="187">
        <v>604.1</v>
      </c>
      <c r="H67" s="187">
        <v>709.3</v>
      </c>
      <c r="I67" s="187">
        <v>423.8</v>
      </c>
      <c r="J67" s="187">
        <v>884</v>
      </c>
      <c r="K67" s="187">
        <v>604.1</v>
      </c>
      <c r="L67" s="187">
        <v>485.9</v>
      </c>
      <c r="M67" s="187">
        <v>619.6</v>
      </c>
      <c r="N67" s="187">
        <v>428.1</v>
      </c>
      <c r="O67" s="187">
        <v>530.5</v>
      </c>
      <c r="P67" s="187">
        <v>457.4</v>
      </c>
      <c r="Q67" s="187">
        <v>889.8</v>
      </c>
      <c r="R67" s="187">
        <v>534</v>
      </c>
      <c r="S67" s="196">
        <v>885.4</v>
      </c>
    </row>
    <row r="68" spans="2:19">
      <c r="B68" s="194">
        <v>11.5</v>
      </c>
      <c r="C68" s="195">
        <v>486</v>
      </c>
      <c r="D68" s="187">
        <v>485.2</v>
      </c>
      <c r="E68" s="187">
        <v>303.60000000000002</v>
      </c>
      <c r="F68" s="187">
        <v>443.9</v>
      </c>
      <c r="G68" s="187">
        <v>602.6</v>
      </c>
      <c r="H68" s="187">
        <v>707.6</v>
      </c>
      <c r="I68" s="187">
        <v>422.9</v>
      </c>
      <c r="J68" s="187">
        <v>882</v>
      </c>
      <c r="K68" s="187">
        <v>602.9</v>
      </c>
      <c r="L68" s="187">
        <v>484.9</v>
      </c>
      <c r="M68" s="187">
        <v>618.5</v>
      </c>
      <c r="N68" s="187">
        <v>427.3</v>
      </c>
      <c r="O68" s="187">
        <v>529.4</v>
      </c>
      <c r="P68" s="187">
        <v>456.7</v>
      </c>
      <c r="Q68" s="187">
        <v>888.2</v>
      </c>
      <c r="R68" s="187">
        <v>533</v>
      </c>
      <c r="S68" s="196">
        <v>884.1</v>
      </c>
    </row>
    <row r="69" spans="2:19">
      <c r="B69" s="194">
        <v>12</v>
      </c>
      <c r="C69" s="195">
        <v>485</v>
      </c>
      <c r="D69" s="187">
        <v>484.3</v>
      </c>
      <c r="E69" s="187">
        <v>302.89999999999998</v>
      </c>
      <c r="F69" s="187">
        <v>443</v>
      </c>
      <c r="G69" s="187">
        <v>601.1</v>
      </c>
      <c r="H69" s="187">
        <v>705.8</v>
      </c>
      <c r="I69" s="187">
        <v>422</v>
      </c>
      <c r="J69" s="187">
        <v>880</v>
      </c>
      <c r="K69" s="187">
        <v>601.1</v>
      </c>
      <c r="L69" s="187">
        <v>483.7</v>
      </c>
      <c r="M69" s="187">
        <v>617</v>
      </c>
      <c r="N69" s="187">
        <v>426.4</v>
      </c>
      <c r="O69" s="187">
        <v>528.20000000000005</v>
      </c>
      <c r="P69" s="187">
        <v>455.7</v>
      </c>
      <c r="Q69" s="187">
        <v>886.4</v>
      </c>
      <c r="R69" s="187">
        <v>532</v>
      </c>
      <c r="S69" s="196">
        <v>881.9</v>
      </c>
    </row>
    <row r="70" spans="2:19">
      <c r="B70" s="194">
        <v>12.5</v>
      </c>
      <c r="C70" s="195">
        <v>484</v>
      </c>
      <c r="D70" s="187">
        <v>483.1</v>
      </c>
      <c r="E70" s="187">
        <v>302.3</v>
      </c>
      <c r="F70" s="187">
        <v>442</v>
      </c>
      <c r="G70" s="187">
        <v>599.6</v>
      </c>
      <c r="H70" s="187">
        <v>704.4</v>
      </c>
      <c r="I70" s="187">
        <v>420.8</v>
      </c>
      <c r="J70" s="187">
        <v>878</v>
      </c>
      <c r="K70" s="187">
        <v>599.6</v>
      </c>
      <c r="L70" s="187">
        <v>482.5</v>
      </c>
      <c r="M70" s="187">
        <v>615.5</v>
      </c>
      <c r="N70" s="187">
        <v>425.5</v>
      </c>
      <c r="O70" s="187">
        <v>527</v>
      </c>
      <c r="P70" s="187">
        <v>454.9</v>
      </c>
      <c r="Q70" s="187">
        <v>884.2</v>
      </c>
      <c r="R70" s="187">
        <v>531</v>
      </c>
      <c r="S70" s="196">
        <v>879.7</v>
      </c>
    </row>
    <row r="71" spans="2:19">
      <c r="B71" s="194">
        <v>13</v>
      </c>
      <c r="C71" s="195">
        <v>483</v>
      </c>
      <c r="D71" s="187">
        <v>482</v>
      </c>
      <c r="E71" s="187">
        <v>301.8</v>
      </c>
      <c r="F71" s="187">
        <v>441.3</v>
      </c>
      <c r="G71" s="187">
        <v>598</v>
      </c>
      <c r="H71" s="187">
        <v>702.6</v>
      </c>
      <c r="I71" s="187">
        <v>419.6</v>
      </c>
      <c r="J71" s="187">
        <v>876</v>
      </c>
      <c r="K71" s="187">
        <v>597.70000000000005</v>
      </c>
      <c r="L71" s="187">
        <v>481.4</v>
      </c>
      <c r="M71" s="187">
        <v>614</v>
      </c>
      <c r="N71" s="187">
        <v>424.8</v>
      </c>
      <c r="O71" s="187">
        <v>525.79999999999995</v>
      </c>
      <c r="P71" s="187">
        <v>453.9</v>
      </c>
      <c r="Q71" s="187">
        <v>882.7</v>
      </c>
      <c r="R71" s="187">
        <v>530</v>
      </c>
      <c r="S71" s="196">
        <v>877.6</v>
      </c>
    </row>
    <row r="72" spans="2:19">
      <c r="B72" s="194">
        <v>13.5</v>
      </c>
      <c r="C72" s="195">
        <v>482</v>
      </c>
      <c r="D72" s="187">
        <v>480.9</v>
      </c>
      <c r="E72" s="187">
        <v>301.2</v>
      </c>
      <c r="F72" s="187">
        <v>440.4</v>
      </c>
      <c r="G72" s="187">
        <v>596.6</v>
      </c>
      <c r="H72" s="187">
        <v>700.8</v>
      </c>
      <c r="I72" s="187">
        <v>418.7</v>
      </c>
      <c r="J72" s="187">
        <v>874</v>
      </c>
      <c r="K72" s="187">
        <v>596.6</v>
      </c>
      <c r="L72" s="187">
        <v>480.5</v>
      </c>
      <c r="M72" s="187">
        <v>612.9</v>
      </c>
      <c r="N72" s="187">
        <v>423.9</v>
      </c>
      <c r="O72" s="187">
        <v>524.6</v>
      </c>
      <c r="P72" s="187">
        <v>453</v>
      </c>
      <c r="Q72" s="187">
        <v>881.1</v>
      </c>
      <c r="R72" s="187">
        <v>529</v>
      </c>
      <c r="S72" s="196">
        <v>875.3</v>
      </c>
    </row>
    <row r="73" spans="2:19">
      <c r="B73" s="194">
        <v>14</v>
      </c>
      <c r="C73" s="195">
        <v>481</v>
      </c>
      <c r="D73" s="187">
        <v>479.9</v>
      </c>
      <c r="E73" s="187">
        <v>300.5</v>
      </c>
      <c r="F73" s="187">
        <v>439.5</v>
      </c>
      <c r="G73" s="187">
        <v>595.5</v>
      </c>
      <c r="H73" s="187">
        <v>699.4</v>
      </c>
      <c r="I73" s="187">
        <v>418</v>
      </c>
      <c r="J73" s="187">
        <v>872</v>
      </c>
      <c r="K73" s="187">
        <v>595.5</v>
      </c>
      <c r="L73" s="187">
        <v>479.3</v>
      </c>
      <c r="M73" s="187">
        <v>611.79999999999995</v>
      </c>
      <c r="N73" s="187">
        <v>423.1</v>
      </c>
      <c r="O73" s="187">
        <v>523.4</v>
      </c>
      <c r="P73" s="187">
        <v>452.2</v>
      </c>
      <c r="Q73" s="187">
        <v>879.3</v>
      </c>
      <c r="R73" s="187">
        <v>528</v>
      </c>
      <c r="S73" s="196">
        <v>873.6</v>
      </c>
    </row>
    <row r="74" spans="2:19">
      <c r="B74" s="194">
        <v>14.5</v>
      </c>
      <c r="C74" s="195">
        <v>480</v>
      </c>
      <c r="D74" s="187">
        <v>478.9</v>
      </c>
      <c r="E74" s="187">
        <v>300</v>
      </c>
      <c r="F74" s="187">
        <v>438.6</v>
      </c>
      <c r="G74" s="187">
        <v>594.5</v>
      </c>
      <c r="H74" s="187">
        <v>698</v>
      </c>
      <c r="I74" s="187">
        <v>417.1</v>
      </c>
      <c r="J74" s="187">
        <v>869.8</v>
      </c>
      <c r="K74" s="187">
        <v>594.5</v>
      </c>
      <c r="L74" s="187">
        <v>478.3</v>
      </c>
      <c r="M74" s="187">
        <v>610.79999999999995</v>
      </c>
      <c r="N74" s="187">
        <v>422.3</v>
      </c>
      <c r="O74" s="187">
        <v>522.20000000000005</v>
      </c>
      <c r="P74" s="187">
        <v>451.5</v>
      </c>
      <c r="Q74" s="187">
        <v>877.4</v>
      </c>
      <c r="R74" s="187">
        <v>526.9</v>
      </c>
      <c r="S74" s="196">
        <v>872</v>
      </c>
    </row>
    <row r="75" spans="2:19">
      <c r="B75" s="194">
        <v>15</v>
      </c>
      <c r="C75" s="195">
        <v>479</v>
      </c>
      <c r="D75" s="187">
        <v>477.8</v>
      </c>
      <c r="E75" s="187">
        <v>299.3</v>
      </c>
      <c r="F75" s="187">
        <v>437.6</v>
      </c>
      <c r="G75" s="187">
        <v>593.1</v>
      </c>
      <c r="H75" s="187">
        <v>696.5</v>
      </c>
      <c r="I75" s="187">
        <v>416.2</v>
      </c>
      <c r="J75" s="187">
        <v>867.7</v>
      </c>
      <c r="K75" s="187">
        <v>593.1</v>
      </c>
      <c r="L75" s="187">
        <v>477.1</v>
      </c>
      <c r="M75" s="187">
        <v>609.29999999999995</v>
      </c>
      <c r="N75" s="187">
        <v>421.3</v>
      </c>
      <c r="O75" s="187">
        <v>521</v>
      </c>
      <c r="P75" s="187">
        <v>450.5</v>
      </c>
      <c r="Q75" s="187">
        <v>875.5</v>
      </c>
      <c r="R75" s="187">
        <v>525.79999999999995</v>
      </c>
      <c r="S75" s="196">
        <v>869.8</v>
      </c>
    </row>
    <row r="76" spans="2:19">
      <c r="B76" s="194">
        <v>15.5</v>
      </c>
      <c r="C76" s="195">
        <v>478</v>
      </c>
      <c r="D76" s="187">
        <v>476.7</v>
      </c>
      <c r="E76" s="187">
        <v>298.60000000000002</v>
      </c>
      <c r="F76" s="187">
        <v>436.6</v>
      </c>
      <c r="G76" s="187">
        <v>591.9</v>
      </c>
      <c r="H76" s="187">
        <v>695.3</v>
      </c>
      <c r="I76" s="187">
        <v>415.4</v>
      </c>
      <c r="J76" s="187">
        <v>866.6</v>
      </c>
      <c r="K76" s="187">
        <v>591.9</v>
      </c>
      <c r="L76" s="187">
        <v>475.9</v>
      </c>
      <c r="M76" s="187">
        <v>608.1</v>
      </c>
      <c r="N76" s="187">
        <v>420.4</v>
      </c>
      <c r="O76" s="187">
        <v>519.79999999999995</v>
      </c>
      <c r="P76" s="187">
        <v>449.9</v>
      </c>
      <c r="Q76" s="187">
        <v>873.7</v>
      </c>
      <c r="R76" s="187">
        <v>524.70000000000005</v>
      </c>
      <c r="S76" s="196">
        <v>867.6</v>
      </c>
    </row>
    <row r="77" spans="2:19">
      <c r="B77" s="194">
        <v>16</v>
      </c>
      <c r="C77" s="195">
        <v>477</v>
      </c>
      <c r="D77" s="187">
        <v>475.8</v>
      </c>
      <c r="E77" s="187">
        <v>298.10000000000002</v>
      </c>
      <c r="F77" s="187">
        <v>435.8</v>
      </c>
      <c r="G77" s="187">
        <v>590.79999999999995</v>
      </c>
      <c r="H77" s="187">
        <v>694</v>
      </c>
      <c r="I77" s="187">
        <v>414.6</v>
      </c>
      <c r="J77" s="187">
        <v>864.8</v>
      </c>
      <c r="K77" s="187">
        <v>590.79999999999995</v>
      </c>
      <c r="L77" s="187">
        <v>475.1</v>
      </c>
      <c r="M77" s="187">
        <v>606.70000000000005</v>
      </c>
      <c r="N77" s="187">
        <v>419.6</v>
      </c>
      <c r="O77" s="187">
        <v>519.1</v>
      </c>
      <c r="P77" s="187">
        <v>449.3</v>
      </c>
      <c r="Q77" s="187">
        <v>871.7</v>
      </c>
      <c r="R77" s="187">
        <v>523.6</v>
      </c>
      <c r="S77" s="196">
        <v>865.6</v>
      </c>
    </row>
    <row r="78" spans="2:19">
      <c r="B78" s="194">
        <v>16.5</v>
      </c>
      <c r="C78" s="195">
        <v>476</v>
      </c>
      <c r="D78" s="187">
        <v>474.8</v>
      </c>
      <c r="E78" s="187">
        <v>297.5</v>
      </c>
      <c r="F78" s="187">
        <v>435</v>
      </c>
      <c r="G78" s="187">
        <v>589.79999999999995</v>
      </c>
      <c r="H78" s="187">
        <v>692.4</v>
      </c>
      <c r="I78" s="187">
        <v>413.5</v>
      </c>
      <c r="J78" s="187">
        <v>863.1</v>
      </c>
      <c r="K78" s="187">
        <v>589.79999999999995</v>
      </c>
      <c r="L78" s="187">
        <v>474.4</v>
      </c>
      <c r="M78" s="187">
        <v>605.4</v>
      </c>
      <c r="N78" s="187">
        <v>418.8</v>
      </c>
      <c r="O78" s="187">
        <v>518.1</v>
      </c>
      <c r="P78" s="187">
        <v>448.6</v>
      </c>
      <c r="Q78" s="187">
        <v>870.3</v>
      </c>
      <c r="R78" s="187">
        <v>522.5</v>
      </c>
      <c r="S78" s="196">
        <v>863.9</v>
      </c>
    </row>
    <row r="79" spans="2:19">
      <c r="B79" s="194">
        <v>17</v>
      </c>
      <c r="C79" s="195">
        <v>475</v>
      </c>
      <c r="D79" s="187">
        <v>474</v>
      </c>
      <c r="E79" s="187">
        <v>296.8</v>
      </c>
      <c r="F79" s="187">
        <v>434.3</v>
      </c>
      <c r="G79" s="187">
        <v>588.29999999999995</v>
      </c>
      <c r="H79" s="187">
        <v>691.1</v>
      </c>
      <c r="I79" s="187">
        <v>412.8</v>
      </c>
      <c r="J79" s="187">
        <v>861</v>
      </c>
      <c r="K79" s="187">
        <v>588.29999999999995</v>
      </c>
      <c r="L79" s="187">
        <v>473.5</v>
      </c>
      <c r="M79" s="187">
        <v>604</v>
      </c>
      <c r="N79" s="187">
        <v>418.1</v>
      </c>
      <c r="O79" s="187">
        <v>517.1</v>
      </c>
      <c r="P79" s="187">
        <v>447.8</v>
      </c>
      <c r="Q79" s="187">
        <v>868.6</v>
      </c>
      <c r="R79" s="187">
        <v>521.4</v>
      </c>
      <c r="S79" s="196">
        <v>862</v>
      </c>
    </row>
    <row r="80" spans="2:19">
      <c r="B80" s="194">
        <v>17.5</v>
      </c>
      <c r="C80" s="195">
        <v>474</v>
      </c>
      <c r="D80" s="187">
        <v>473.1</v>
      </c>
      <c r="E80" s="187">
        <v>296.2</v>
      </c>
      <c r="F80" s="187">
        <v>433.1</v>
      </c>
      <c r="G80" s="187">
        <v>587.20000000000005</v>
      </c>
      <c r="H80" s="187">
        <v>689.6</v>
      </c>
      <c r="I80" s="187">
        <v>411.8</v>
      </c>
      <c r="J80" s="187">
        <v>859</v>
      </c>
      <c r="K80" s="187">
        <v>587.20000000000005</v>
      </c>
      <c r="L80" s="187">
        <v>472.6</v>
      </c>
      <c r="M80" s="187">
        <v>602.6</v>
      </c>
      <c r="N80" s="187">
        <v>417</v>
      </c>
      <c r="O80" s="187">
        <v>515.6</v>
      </c>
      <c r="P80" s="187">
        <v>447</v>
      </c>
      <c r="Q80" s="187">
        <v>866.6</v>
      </c>
      <c r="R80" s="187">
        <v>520.29999999999995</v>
      </c>
      <c r="S80" s="196">
        <v>860.3</v>
      </c>
    </row>
    <row r="81" spans="2:19">
      <c r="B81" s="194">
        <v>18</v>
      </c>
      <c r="C81" s="195">
        <v>473</v>
      </c>
      <c r="D81" s="187">
        <v>472</v>
      </c>
      <c r="E81" s="187">
        <v>295.39999999999998</v>
      </c>
      <c r="F81" s="187">
        <v>432</v>
      </c>
      <c r="G81" s="187">
        <v>585.4</v>
      </c>
      <c r="H81" s="187">
        <v>687.8</v>
      </c>
      <c r="I81" s="187">
        <v>410.7</v>
      </c>
      <c r="J81" s="187">
        <v>856.6</v>
      </c>
      <c r="K81" s="187">
        <v>585.4</v>
      </c>
      <c r="L81" s="187">
        <v>471.5</v>
      </c>
      <c r="M81" s="187">
        <v>600.9</v>
      </c>
      <c r="N81" s="187">
        <v>415.9</v>
      </c>
      <c r="O81" s="187">
        <v>514.29999999999995</v>
      </c>
      <c r="P81" s="187">
        <v>446</v>
      </c>
      <c r="Q81" s="187">
        <v>864.5</v>
      </c>
      <c r="R81" s="187">
        <v>519.29999999999995</v>
      </c>
      <c r="S81" s="196">
        <v>858.4</v>
      </c>
    </row>
    <row r="82" spans="2:19">
      <c r="B82" s="194">
        <v>18.5</v>
      </c>
      <c r="C82" s="195">
        <v>472</v>
      </c>
      <c r="D82" s="187">
        <v>470.9</v>
      </c>
      <c r="E82" s="187">
        <v>294.8</v>
      </c>
      <c r="F82" s="187">
        <v>431.1</v>
      </c>
      <c r="G82" s="187">
        <v>584.29999999999995</v>
      </c>
      <c r="H82" s="187">
        <v>686</v>
      </c>
      <c r="I82" s="187">
        <v>409.8</v>
      </c>
      <c r="J82" s="187">
        <v>854.5</v>
      </c>
      <c r="K82" s="187">
        <v>584.29999999999995</v>
      </c>
      <c r="L82" s="187">
        <v>470.4</v>
      </c>
      <c r="M82" s="187">
        <v>599.79999999999995</v>
      </c>
      <c r="N82" s="187">
        <v>415</v>
      </c>
      <c r="O82" s="187">
        <v>513.1</v>
      </c>
      <c r="P82" s="187">
        <v>445.2</v>
      </c>
      <c r="Q82" s="187">
        <v>862.5</v>
      </c>
      <c r="R82" s="187">
        <v>518.29999999999995</v>
      </c>
      <c r="S82" s="196">
        <v>856.5</v>
      </c>
    </row>
    <row r="83" spans="2:19">
      <c r="B83" s="194">
        <v>19</v>
      </c>
      <c r="C83" s="195">
        <v>471</v>
      </c>
      <c r="D83" s="187">
        <v>469.7</v>
      </c>
      <c r="E83" s="187">
        <v>294.10000000000002</v>
      </c>
      <c r="F83" s="187">
        <v>430</v>
      </c>
      <c r="G83" s="187">
        <v>582.70000000000005</v>
      </c>
      <c r="H83" s="187">
        <v>684.3</v>
      </c>
      <c r="I83" s="187">
        <v>408.8</v>
      </c>
      <c r="J83" s="187">
        <v>852.4</v>
      </c>
      <c r="K83" s="187">
        <v>582.70000000000005</v>
      </c>
      <c r="L83" s="187">
        <v>469.4</v>
      </c>
      <c r="M83" s="187">
        <v>598.29999999999995</v>
      </c>
      <c r="N83" s="187">
        <v>414</v>
      </c>
      <c r="O83" s="187">
        <v>511.8</v>
      </c>
      <c r="P83" s="187">
        <v>444.3</v>
      </c>
      <c r="Q83" s="187">
        <v>860.4</v>
      </c>
      <c r="R83" s="187">
        <v>517.29999999999995</v>
      </c>
      <c r="S83" s="196">
        <v>854.9</v>
      </c>
    </row>
    <row r="84" spans="2:19">
      <c r="B84" s="194">
        <v>19.5</v>
      </c>
      <c r="C84" s="195">
        <v>470</v>
      </c>
      <c r="D84" s="187">
        <v>469</v>
      </c>
      <c r="E84" s="187">
        <v>293.60000000000002</v>
      </c>
      <c r="F84" s="187">
        <v>429.3</v>
      </c>
      <c r="G84" s="187">
        <v>581.4</v>
      </c>
      <c r="H84" s="187">
        <v>682.8</v>
      </c>
      <c r="I84" s="187">
        <v>407.9</v>
      </c>
      <c r="J84" s="187">
        <v>850.5</v>
      </c>
      <c r="K84" s="187">
        <v>581.4</v>
      </c>
      <c r="L84" s="187">
        <v>468.6</v>
      </c>
      <c r="M84" s="187">
        <v>597</v>
      </c>
      <c r="N84" s="187">
        <v>413.4</v>
      </c>
      <c r="O84" s="187">
        <v>511</v>
      </c>
      <c r="P84" s="187">
        <v>443.5</v>
      </c>
      <c r="Q84" s="187">
        <v>858.9</v>
      </c>
      <c r="R84" s="187">
        <v>516.29999999999995</v>
      </c>
      <c r="S84" s="196">
        <v>853.4</v>
      </c>
    </row>
    <row r="85" spans="2:19">
      <c r="B85" s="194">
        <v>20</v>
      </c>
      <c r="C85" s="195">
        <v>469</v>
      </c>
      <c r="D85" s="187">
        <v>468.2</v>
      </c>
      <c r="E85" s="187">
        <v>293.10000000000002</v>
      </c>
      <c r="F85" s="187">
        <v>428.6</v>
      </c>
      <c r="G85" s="187">
        <v>579.6</v>
      </c>
      <c r="H85" s="187">
        <v>681.1</v>
      </c>
      <c r="I85" s="187">
        <v>406.8</v>
      </c>
      <c r="J85" s="187">
        <v>848</v>
      </c>
      <c r="K85" s="187">
        <v>579.6</v>
      </c>
      <c r="L85" s="187">
        <v>467.7</v>
      </c>
      <c r="M85" s="187">
        <v>595.6</v>
      </c>
      <c r="N85" s="187">
        <v>412.6</v>
      </c>
      <c r="O85" s="187">
        <v>509.4</v>
      </c>
      <c r="P85" s="187">
        <v>442.6</v>
      </c>
      <c r="Q85" s="187">
        <v>857.6</v>
      </c>
      <c r="R85" s="187">
        <v>515</v>
      </c>
      <c r="S85" s="196">
        <v>851.9</v>
      </c>
    </row>
    <row r="86" spans="2:19">
      <c r="B86" s="194">
        <v>20.5</v>
      </c>
      <c r="C86" s="195">
        <v>468</v>
      </c>
      <c r="D86" s="187">
        <v>467.2</v>
      </c>
      <c r="E86" s="187">
        <v>292.5</v>
      </c>
      <c r="F86" s="187">
        <v>427.7</v>
      </c>
      <c r="G86" s="187">
        <v>578.1</v>
      </c>
      <c r="H86" s="187">
        <v>679.5</v>
      </c>
      <c r="I86" s="187">
        <v>405.9</v>
      </c>
      <c r="J86" s="187">
        <v>845.4</v>
      </c>
      <c r="K86" s="187">
        <v>578.1</v>
      </c>
      <c r="L86" s="187">
        <v>466.5</v>
      </c>
      <c r="M86" s="187">
        <v>594.1</v>
      </c>
      <c r="N86" s="187">
        <v>411.8</v>
      </c>
      <c r="O86" s="187">
        <v>508.4</v>
      </c>
      <c r="P86" s="187">
        <v>441.6</v>
      </c>
      <c r="Q86" s="187">
        <v>855.8</v>
      </c>
      <c r="R86" s="187">
        <v>513.9</v>
      </c>
      <c r="S86" s="196">
        <v>849.9</v>
      </c>
    </row>
    <row r="87" spans="2:19">
      <c r="B87" s="194">
        <v>21</v>
      </c>
      <c r="C87" s="195">
        <v>467</v>
      </c>
      <c r="D87" s="187">
        <v>466</v>
      </c>
      <c r="E87" s="187">
        <v>292</v>
      </c>
      <c r="F87" s="187">
        <v>427</v>
      </c>
      <c r="G87" s="187">
        <v>576.79999999999995</v>
      </c>
      <c r="H87" s="187">
        <v>678</v>
      </c>
      <c r="I87" s="187">
        <v>405</v>
      </c>
      <c r="J87" s="187">
        <v>843.6</v>
      </c>
      <c r="K87" s="187">
        <v>576.79999999999995</v>
      </c>
      <c r="L87" s="187">
        <v>465.2</v>
      </c>
      <c r="M87" s="187">
        <v>592.9</v>
      </c>
      <c r="N87" s="187">
        <v>411.1</v>
      </c>
      <c r="O87" s="187">
        <v>507.3</v>
      </c>
      <c r="P87" s="187">
        <v>441</v>
      </c>
      <c r="Q87" s="187">
        <v>854.2</v>
      </c>
      <c r="R87" s="187">
        <v>512.79999999999995</v>
      </c>
      <c r="S87" s="196">
        <v>847.5</v>
      </c>
    </row>
    <row r="88" spans="2:19">
      <c r="B88" s="194">
        <v>21.5</v>
      </c>
      <c r="C88" s="195">
        <v>466</v>
      </c>
      <c r="D88" s="187">
        <v>464.9</v>
      </c>
      <c r="E88" s="187">
        <v>291.2</v>
      </c>
      <c r="F88" s="187">
        <v>425.8</v>
      </c>
      <c r="G88" s="187">
        <v>575.4</v>
      </c>
      <c r="H88" s="187">
        <v>676.2</v>
      </c>
      <c r="I88" s="187">
        <v>403.8</v>
      </c>
      <c r="J88" s="187">
        <v>841.4</v>
      </c>
      <c r="K88" s="187">
        <v>575.4</v>
      </c>
      <c r="L88" s="187">
        <v>464.1</v>
      </c>
      <c r="M88" s="187">
        <v>591.1</v>
      </c>
      <c r="N88" s="187">
        <v>410</v>
      </c>
      <c r="O88" s="187">
        <v>506.1</v>
      </c>
      <c r="P88" s="187">
        <v>440</v>
      </c>
      <c r="Q88" s="187">
        <v>852</v>
      </c>
      <c r="R88" s="187">
        <v>511.7</v>
      </c>
      <c r="S88" s="196">
        <v>845.2</v>
      </c>
    </row>
    <row r="89" spans="2:19">
      <c r="B89" s="194">
        <v>22</v>
      </c>
      <c r="C89" s="195">
        <v>465</v>
      </c>
      <c r="D89" s="187">
        <v>463.9</v>
      </c>
      <c r="E89" s="187">
        <v>290.5</v>
      </c>
      <c r="F89" s="187">
        <v>424.7</v>
      </c>
      <c r="G89" s="187">
        <v>574.1</v>
      </c>
      <c r="H89" s="187">
        <v>674.7</v>
      </c>
      <c r="I89" s="187">
        <v>402.8</v>
      </c>
      <c r="J89" s="187">
        <v>839.5</v>
      </c>
      <c r="K89" s="187">
        <v>574.1</v>
      </c>
      <c r="L89" s="187">
        <v>462.9</v>
      </c>
      <c r="M89" s="187">
        <v>589.4</v>
      </c>
      <c r="N89" s="187">
        <v>409</v>
      </c>
      <c r="O89" s="187">
        <v>504.7</v>
      </c>
      <c r="P89" s="187">
        <v>439.1</v>
      </c>
      <c r="Q89" s="187">
        <v>850</v>
      </c>
      <c r="R89" s="187">
        <v>510.6</v>
      </c>
      <c r="S89" s="196">
        <v>843.2</v>
      </c>
    </row>
    <row r="90" spans="2:19">
      <c r="B90" s="194">
        <v>22.5</v>
      </c>
      <c r="C90" s="195">
        <v>464</v>
      </c>
      <c r="D90" s="187">
        <v>462.7</v>
      </c>
      <c r="E90" s="187">
        <v>289.7</v>
      </c>
      <c r="F90" s="187">
        <v>423.7</v>
      </c>
      <c r="G90" s="187">
        <v>572.29999999999995</v>
      </c>
      <c r="H90" s="187">
        <v>672.9</v>
      </c>
      <c r="I90" s="187">
        <v>401.6</v>
      </c>
      <c r="J90" s="187">
        <v>837.3</v>
      </c>
      <c r="K90" s="187">
        <v>572.29999999999995</v>
      </c>
      <c r="L90" s="187">
        <v>461.7</v>
      </c>
      <c r="M90" s="187">
        <v>588.1</v>
      </c>
      <c r="N90" s="187">
        <v>408</v>
      </c>
      <c r="O90" s="187">
        <v>503.2</v>
      </c>
      <c r="P90" s="187">
        <v>438.1</v>
      </c>
      <c r="Q90" s="187">
        <v>848</v>
      </c>
      <c r="R90" s="187">
        <v>509.5</v>
      </c>
      <c r="S90" s="196">
        <v>840.8</v>
      </c>
    </row>
    <row r="91" spans="2:19">
      <c r="B91" s="194">
        <v>23</v>
      </c>
      <c r="C91" s="195">
        <v>463</v>
      </c>
      <c r="D91" s="187">
        <v>461.8</v>
      </c>
      <c r="E91" s="187">
        <v>289.10000000000002</v>
      </c>
      <c r="F91" s="187">
        <v>423</v>
      </c>
      <c r="G91" s="187">
        <v>571.1</v>
      </c>
      <c r="H91" s="187">
        <v>671.1</v>
      </c>
      <c r="I91" s="187">
        <v>400.6</v>
      </c>
      <c r="J91" s="187">
        <v>835.7</v>
      </c>
      <c r="K91" s="187">
        <v>571.1</v>
      </c>
      <c r="L91" s="187">
        <v>460.9</v>
      </c>
      <c r="M91" s="187">
        <v>586.79999999999995</v>
      </c>
      <c r="N91" s="187">
        <v>407.3</v>
      </c>
      <c r="O91" s="187">
        <v>502.3</v>
      </c>
      <c r="P91" s="187">
        <v>437.5</v>
      </c>
      <c r="Q91" s="187">
        <v>846.3</v>
      </c>
      <c r="R91" s="187">
        <v>508.4</v>
      </c>
      <c r="S91" s="196">
        <v>838.8</v>
      </c>
    </row>
    <row r="92" spans="2:19">
      <c r="B92" s="194">
        <v>23.5</v>
      </c>
      <c r="C92" s="195">
        <v>462</v>
      </c>
      <c r="D92" s="187">
        <v>460.9</v>
      </c>
      <c r="E92" s="187">
        <v>288.5</v>
      </c>
      <c r="F92" s="187">
        <v>421.9</v>
      </c>
      <c r="G92" s="187">
        <v>569.9</v>
      </c>
      <c r="H92" s="187">
        <v>669.6</v>
      </c>
      <c r="I92" s="187">
        <v>399.6</v>
      </c>
      <c r="J92" s="187">
        <v>833.9</v>
      </c>
      <c r="K92" s="187">
        <v>569.9</v>
      </c>
      <c r="L92" s="187">
        <v>460</v>
      </c>
      <c r="M92" s="187">
        <v>585.5</v>
      </c>
      <c r="N92" s="187">
        <v>406.2</v>
      </c>
      <c r="O92" s="187">
        <v>501.1</v>
      </c>
      <c r="P92" s="187">
        <v>436.6</v>
      </c>
      <c r="Q92" s="187">
        <v>844.1</v>
      </c>
      <c r="R92" s="187">
        <v>507.3</v>
      </c>
      <c r="S92" s="196">
        <v>836.9</v>
      </c>
    </row>
    <row r="93" spans="2:19">
      <c r="B93" s="194">
        <v>24</v>
      </c>
      <c r="C93" s="195">
        <v>461</v>
      </c>
      <c r="D93" s="187">
        <v>460.1</v>
      </c>
      <c r="E93" s="187">
        <v>288</v>
      </c>
      <c r="F93" s="187">
        <v>420.9</v>
      </c>
      <c r="G93" s="187">
        <v>568.5</v>
      </c>
      <c r="H93" s="187">
        <v>668.2</v>
      </c>
      <c r="I93" s="187">
        <v>398.8</v>
      </c>
      <c r="J93" s="187">
        <v>831.8</v>
      </c>
      <c r="K93" s="187">
        <v>568.6</v>
      </c>
      <c r="L93" s="187">
        <v>458.9</v>
      </c>
      <c r="M93" s="187">
        <v>583.79999999999995</v>
      </c>
      <c r="N93" s="187">
        <v>405.3</v>
      </c>
      <c r="O93" s="187">
        <v>499.9</v>
      </c>
      <c r="P93" s="187">
        <v>435.8</v>
      </c>
      <c r="Q93" s="187">
        <v>842</v>
      </c>
      <c r="R93" s="187">
        <v>506.3</v>
      </c>
      <c r="S93" s="196">
        <v>835.3</v>
      </c>
    </row>
    <row r="94" spans="2:19">
      <c r="B94" s="194">
        <v>24.5</v>
      </c>
      <c r="C94" s="195">
        <v>460</v>
      </c>
      <c r="D94" s="187">
        <v>459.2</v>
      </c>
      <c r="E94" s="187">
        <v>287.39999999999998</v>
      </c>
      <c r="F94" s="187">
        <v>420.3</v>
      </c>
      <c r="G94" s="187">
        <v>567.20000000000005</v>
      </c>
      <c r="H94" s="187">
        <v>666.8</v>
      </c>
      <c r="I94" s="187">
        <v>398</v>
      </c>
      <c r="J94" s="187">
        <v>829.6</v>
      </c>
      <c r="K94" s="187">
        <v>567.29999999999995</v>
      </c>
      <c r="L94" s="187">
        <v>458</v>
      </c>
      <c r="M94" s="187">
        <v>582.70000000000005</v>
      </c>
      <c r="N94" s="187">
        <v>404.7</v>
      </c>
      <c r="O94" s="187">
        <v>499</v>
      </c>
      <c r="P94" s="187">
        <v>434.9</v>
      </c>
      <c r="Q94" s="187">
        <v>840.7</v>
      </c>
      <c r="R94" s="187">
        <v>505.2</v>
      </c>
      <c r="S94" s="196">
        <v>833.7</v>
      </c>
    </row>
    <row r="95" spans="2:19">
      <c r="B95" s="194">
        <v>25</v>
      </c>
      <c r="C95" s="195">
        <v>459</v>
      </c>
      <c r="D95" s="187">
        <v>458.2</v>
      </c>
      <c r="E95" s="187">
        <v>286.8</v>
      </c>
      <c r="F95" s="187">
        <v>419.3</v>
      </c>
      <c r="G95" s="187">
        <v>565.9</v>
      </c>
      <c r="H95" s="187">
        <v>665</v>
      </c>
      <c r="I95" s="187">
        <v>396.8</v>
      </c>
      <c r="J95" s="187">
        <v>827.3</v>
      </c>
      <c r="K95" s="187">
        <v>565.9</v>
      </c>
      <c r="L95" s="187">
        <v>457</v>
      </c>
      <c r="M95" s="187">
        <v>581.5</v>
      </c>
      <c r="N95" s="187">
        <v>403.8</v>
      </c>
      <c r="O95" s="187">
        <v>497.8</v>
      </c>
      <c r="P95" s="187">
        <v>434.2</v>
      </c>
      <c r="Q95" s="187">
        <v>838.8</v>
      </c>
      <c r="R95" s="187">
        <v>504.1</v>
      </c>
      <c r="S95" s="196">
        <v>831.5</v>
      </c>
    </row>
    <row r="96" spans="2:19">
      <c r="B96" s="194">
        <v>25.5</v>
      </c>
      <c r="C96" s="195">
        <v>458</v>
      </c>
      <c r="D96" s="187">
        <v>457</v>
      </c>
      <c r="E96" s="187">
        <v>286.2</v>
      </c>
      <c r="F96" s="187">
        <v>418.5</v>
      </c>
      <c r="G96" s="187">
        <v>564.4</v>
      </c>
      <c r="H96" s="187">
        <v>663.4</v>
      </c>
      <c r="I96" s="187">
        <v>395.7</v>
      </c>
      <c r="J96" s="187">
        <v>825.2</v>
      </c>
      <c r="K96" s="187">
        <v>564.4</v>
      </c>
      <c r="L96" s="187">
        <v>456</v>
      </c>
      <c r="M96" s="187">
        <v>579.9</v>
      </c>
      <c r="N96" s="187">
        <v>403</v>
      </c>
      <c r="O96" s="187">
        <v>496.5</v>
      </c>
      <c r="P96" s="187">
        <v>433.2</v>
      </c>
      <c r="Q96" s="187">
        <v>837</v>
      </c>
      <c r="R96" s="187">
        <v>503.1</v>
      </c>
      <c r="S96" s="196">
        <v>829.9</v>
      </c>
    </row>
    <row r="97" spans="2:19">
      <c r="B97" s="194">
        <v>26</v>
      </c>
      <c r="C97" s="195">
        <v>457</v>
      </c>
      <c r="D97" s="187">
        <v>455.9</v>
      </c>
      <c r="E97" s="187">
        <v>285.5</v>
      </c>
      <c r="F97" s="187">
        <v>417.2</v>
      </c>
      <c r="G97" s="187">
        <v>562.79999999999995</v>
      </c>
      <c r="H97" s="187">
        <v>661.5</v>
      </c>
      <c r="I97" s="187">
        <v>394.7</v>
      </c>
      <c r="J97" s="187">
        <v>823.2</v>
      </c>
      <c r="K97" s="187">
        <v>562.79999999999995</v>
      </c>
      <c r="L97" s="187">
        <v>454.9</v>
      </c>
      <c r="M97" s="187">
        <v>578.1</v>
      </c>
      <c r="N97" s="187">
        <v>402</v>
      </c>
      <c r="O97" s="187">
        <v>495.1</v>
      </c>
      <c r="P97" s="187">
        <v>432.2</v>
      </c>
      <c r="Q97" s="187">
        <v>834.6</v>
      </c>
      <c r="R97" s="187">
        <v>501.9</v>
      </c>
      <c r="S97" s="196">
        <v>827.7</v>
      </c>
    </row>
    <row r="98" spans="2:19">
      <c r="B98" s="194">
        <v>26.5</v>
      </c>
      <c r="C98" s="195">
        <v>456</v>
      </c>
      <c r="D98" s="187">
        <v>455</v>
      </c>
      <c r="E98" s="187">
        <v>284.8</v>
      </c>
      <c r="F98" s="187">
        <v>416.4</v>
      </c>
      <c r="G98" s="187">
        <v>561.5</v>
      </c>
      <c r="H98" s="187">
        <v>660</v>
      </c>
      <c r="I98" s="187">
        <v>393.7</v>
      </c>
      <c r="J98" s="187">
        <v>821.2</v>
      </c>
      <c r="K98" s="187">
        <v>561.5</v>
      </c>
      <c r="L98" s="187">
        <v>453.8</v>
      </c>
      <c r="M98" s="187">
        <v>576.6</v>
      </c>
      <c r="N98" s="187">
        <v>401</v>
      </c>
      <c r="O98" s="187">
        <v>493.9</v>
      </c>
      <c r="P98" s="187">
        <v>431.4</v>
      </c>
      <c r="Q98" s="187">
        <v>833.3</v>
      </c>
      <c r="R98" s="187">
        <v>500.8</v>
      </c>
      <c r="S98" s="196">
        <v>825.9</v>
      </c>
    </row>
    <row r="99" spans="2:19">
      <c r="B99" s="194">
        <v>27</v>
      </c>
      <c r="C99" s="195">
        <v>455</v>
      </c>
      <c r="D99" s="187">
        <v>453.8</v>
      </c>
      <c r="E99" s="187">
        <v>284.2</v>
      </c>
      <c r="F99" s="187">
        <v>415.5</v>
      </c>
      <c r="G99" s="187">
        <v>560.20000000000005</v>
      </c>
      <c r="H99" s="187">
        <v>658.5</v>
      </c>
      <c r="I99" s="187">
        <v>392.8</v>
      </c>
      <c r="J99" s="187">
        <v>819</v>
      </c>
      <c r="K99" s="187">
        <v>560.20000000000005</v>
      </c>
      <c r="L99" s="187">
        <v>452.8</v>
      </c>
      <c r="M99" s="187">
        <v>575</v>
      </c>
      <c r="N99" s="187">
        <v>400.1</v>
      </c>
      <c r="O99" s="187">
        <v>492.5</v>
      </c>
      <c r="P99" s="187">
        <v>430.6</v>
      </c>
      <c r="Q99" s="187">
        <v>831.3</v>
      </c>
      <c r="R99" s="187">
        <v>499.8</v>
      </c>
      <c r="S99" s="196">
        <v>823.6</v>
      </c>
    </row>
    <row r="100" spans="2:19">
      <c r="B100" s="194">
        <v>27.5</v>
      </c>
      <c r="C100" s="195">
        <v>454</v>
      </c>
      <c r="D100" s="187">
        <v>452.8</v>
      </c>
      <c r="E100" s="187">
        <v>283.60000000000002</v>
      </c>
      <c r="F100" s="187">
        <v>414.7</v>
      </c>
      <c r="G100" s="187">
        <v>559</v>
      </c>
      <c r="H100" s="187">
        <v>656.9</v>
      </c>
      <c r="I100" s="187">
        <v>391.9</v>
      </c>
      <c r="J100" s="187">
        <v>817</v>
      </c>
      <c r="K100" s="187">
        <v>559</v>
      </c>
      <c r="L100" s="187">
        <v>451.9</v>
      </c>
      <c r="M100" s="187">
        <v>573.79999999999995</v>
      </c>
      <c r="N100" s="187">
        <v>399.3</v>
      </c>
      <c r="O100" s="187">
        <v>491.4</v>
      </c>
      <c r="P100" s="187">
        <v>429.9</v>
      </c>
      <c r="Q100" s="187">
        <v>829.7</v>
      </c>
      <c r="R100" s="187">
        <v>498.9</v>
      </c>
      <c r="S100" s="196">
        <v>822.1</v>
      </c>
    </row>
    <row r="101" spans="2:19">
      <c r="B101" s="194">
        <v>28</v>
      </c>
      <c r="C101" s="195">
        <v>453</v>
      </c>
      <c r="D101" s="187">
        <v>452</v>
      </c>
      <c r="E101" s="187">
        <v>282.89999999999998</v>
      </c>
      <c r="F101" s="187">
        <v>413.7</v>
      </c>
      <c r="G101" s="187">
        <v>557.4</v>
      </c>
      <c r="H101" s="187">
        <v>655.20000000000005</v>
      </c>
      <c r="I101" s="187">
        <v>391</v>
      </c>
      <c r="J101" s="187">
        <v>815.2</v>
      </c>
      <c r="K101" s="187">
        <v>557.4</v>
      </c>
      <c r="L101" s="187">
        <v>451</v>
      </c>
      <c r="M101" s="187">
        <v>572.1</v>
      </c>
      <c r="N101" s="187">
        <v>398.4</v>
      </c>
      <c r="O101" s="187">
        <v>490</v>
      </c>
      <c r="P101" s="187">
        <v>428.9</v>
      </c>
      <c r="Q101" s="187">
        <v>828</v>
      </c>
      <c r="R101" s="187">
        <v>497.8</v>
      </c>
      <c r="S101" s="196">
        <v>820.4</v>
      </c>
    </row>
    <row r="102" spans="2:19">
      <c r="B102" s="194">
        <v>28.5</v>
      </c>
      <c r="C102" s="195">
        <v>452</v>
      </c>
      <c r="D102" s="187">
        <v>450.8</v>
      </c>
      <c r="E102" s="187">
        <v>282.10000000000002</v>
      </c>
      <c r="F102" s="187">
        <v>412.5</v>
      </c>
      <c r="G102" s="187">
        <v>555.9</v>
      </c>
      <c r="H102" s="187">
        <v>653.4</v>
      </c>
      <c r="I102" s="187">
        <v>390</v>
      </c>
      <c r="J102" s="187">
        <v>813</v>
      </c>
      <c r="K102" s="187">
        <v>555.9</v>
      </c>
      <c r="L102" s="187">
        <v>449.9</v>
      </c>
      <c r="M102" s="187">
        <v>570.6</v>
      </c>
      <c r="N102" s="187">
        <v>397.3</v>
      </c>
      <c r="O102" s="187">
        <v>488.6</v>
      </c>
      <c r="P102" s="187">
        <v>428.2</v>
      </c>
      <c r="Q102" s="187">
        <v>825.7</v>
      </c>
      <c r="R102" s="187">
        <v>496.7</v>
      </c>
      <c r="S102" s="196">
        <v>818.3</v>
      </c>
    </row>
    <row r="103" spans="2:19">
      <c r="B103" s="194">
        <v>29</v>
      </c>
      <c r="C103" s="195">
        <v>451</v>
      </c>
      <c r="D103" s="187">
        <v>449.9</v>
      </c>
      <c r="E103" s="187">
        <v>281.60000000000002</v>
      </c>
      <c r="F103" s="187">
        <v>411.8</v>
      </c>
      <c r="G103" s="187">
        <v>554.5</v>
      </c>
      <c r="H103" s="187">
        <v>651.79999999999995</v>
      </c>
      <c r="I103" s="187">
        <v>389</v>
      </c>
      <c r="J103" s="187">
        <v>811</v>
      </c>
      <c r="K103" s="187">
        <v>554.5</v>
      </c>
      <c r="L103" s="187">
        <v>448.8</v>
      </c>
      <c r="M103" s="187">
        <v>569.20000000000005</v>
      </c>
      <c r="N103" s="187">
        <v>396.5</v>
      </c>
      <c r="O103" s="187">
        <v>487.5</v>
      </c>
      <c r="P103" s="187">
        <v>427.2</v>
      </c>
      <c r="Q103" s="187">
        <v>823.7</v>
      </c>
      <c r="R103" s="187">
        <v>495.7</v>
      </c>
      <c r="S103" s="196">
        <v>816.6</v>
      </c>
    </row>
    <row r="104" spans="2:19">
      <c r="B104" s="194">
        <v>29.5</v>
      </c>
      <c r="C104" s="195">
        <v>450</v>
      </c>
      <c r="D104" s="187">
        <v>449.1</v>
      </c>
      <c r="E104" s="187">
        <v>280.89999999999998</v>
      </c>
      <c r="F104" s="187">
        <v>410.7</v>
      </c>
      <c r="G104" s="187">
        <v>553.4</v>
      </c>
      <c r="H104" s="187">
        <v>650.29999999999995</v>
      </c>
      <c r="I104" s="187">
        <v>388</v>
      </c>
      <c r="J104" s="187">
        <v>809.3</v>
      </c>
      <c r="K104" s="187">
        <v>553.20000000000005</v>
      </c>
      <c r="L104" s="187">
        <v>447.7</v>
      </c>
      <c r="M104" s="187">
        <v>567.70000000000005</v>
      </c>
      <c r="N104" s="187">
        <v>395.5</v>
      </c>
      <c r="O104" s="187">
        <v>486.6</v>
      </c>
      <c r="P104" s="187">
        <v>426.5</v>
      </c>
      <c r="Q104" s="187">
        <v>821.7</v>
      </c>
      <c r="R104" s="187">
        <v>494.6</v>
      </c>
      <c r="S104" s="196">
        <v>814.6</v>
      </c>
    </row>
    <row r="105" spans="2:19">
      <c r="B105" s="194">
        <v>30</v>
      </c>
      <c r="C105" s="195">
        <v>449</v>
      </c>
      <c r="D105" s="187">
        <v>448.3</v>
      </c>
      <c r="E105" s="187">
        <v>280.3</v>
      </c>
      <c r="F105" s="187">
        <v>409.9</v>
      </c>
      <c r="G105" s="187">
        <v>552.1</v>
      </c>
      <c r="H105" s="187">
        <v>648.5</v>
      </c>
      <c r="I105" s="187">
        <v>387.1</v>
      </c>
      <c r="J105" s="187">
        <v>807.3</v>
      </c>
      <c r="K105" s="187">
        <v>551.9</v>
      </c>
      <c r="L105" s="187">
        <v>446.9</v>
      </c>
      <c r="M105" s="187">
        <v>566.20000000000005</v>
      </c>
      <c r="N105" s="187">
        <v>394.7</v>
      </c>
      <c r="O105" s="187">
        <v>485.3</v>
      </c>
      <c r="P105" s="187">
        <v>425.8</v>
      </c>
      <c r="Q105" s="187">
        <v>820.1</v>
      </c>
      <c r="R105" s="187">
        <v>493.5</v>
      </c>
      <c r="S105" s="196">
        <v>813</v>
      </c>
    </row>
    <row r="106" spans="2:19">
      <c r="B106" s="194">
        <v>30.6</v>
      </c>
      <c r="C106" s="195">
        <v>448</v>
      </c>
      <c r="D106" s="187">
        <v>447.5</v>
      </c>
      <c r="E106" s="187">
        <v>279.8</v>
      </c>
      <c r="F106" s="187">
        <v>409.1</v>
      </c>
      <c r="G106" s="187">
        <v>550.79999999999995</v>
      </c>
      <c r="H106" s="187">
        <v>646.9</v>
      </c>
      <c r="I106" s="187">
        <v>386</v>
      </c>
      <c r="J106" s="187">
        <v>805</v>
      </c>
      <c r="K106" s="187">
        <v>550.6</v>
      </c>
      <c r="L106" s="187">
        <v>446</v>
      </c>
      <c r="M106" s="187">
        <v>564.70000000000005</v>
      </c>
      <c r="N106" s="187">
        <v>394</v>
      </c>
      <c r="O106" s="187">
        <v>484</v>
      </c>
      <c r="P106" s="187">
        <v>424.9</v>
      </c>
      <c r="Q106" s="187">
        <v>818.4</v>
      </c>
      <c r="R106" s="187">
        <v>492.4</v>
      </c>
      <c r="S106" s="196">
        <v>811.2</v>
      </c>
    </row>
    <row r="107" spans="2:19">
      <c r="B107" s="194">
        <v>31.2</v>
      </c>
      <c r="C107" s="195">
        <v>447</v>
      </c>
      <c r="D107" s="187">
        <v>446.4</v>
      </c>
      <c r="E107" s="187">
        <v>279.10000000000002</v>
      </c>
      <c r="F107" s="187">
        <v>408</v>
      </c>
      <c r="G107" s="187">
        <v>549.20000000000005</v>
      </c>
      <c r="H107" s="187">
        <v>645</v>
      </c>
      <c r="I107" s="187">
        <v>385</v>
      </c>
      <c r="J107" s="187">
        <v>802.9</v>
      </c>
      <c r="K107" s="187">
        <v>549.29999999999995</v>
      </c>
      <c r="L107" s="187">
        <v>445</v>
      </c>
      <c r="M107" s="187">
        <v>563.4</v>
      </c>
      <c r="N107" s="187">
        <v>393</v>
      </c>
      <c r="O107" s="187">
        <v>482.4</v>
      </c>
      <c r="P107" s="187">
        <v>423.9</v>
      </c>
      <c r="Q107" s="187">
        <v>816.4</v>
      </c>
      <c r="R107" s="187">
        <v>491.3</v>
      </c>
      <c r="S107" s="196">
        <v>809.5</v>
      </c>
    </row>
    <row r="108" spans="2:19">
      <c r="B108" s="194">
        <v>31.8</v>
      </c>
      <c r="C108" s="195">
        <v>446</v>
      </c>
      <c r="D108" s="187">
        <v>445.2</v>
      </c>
      <c r="E108" s="187">
        <v>278.39999999999998</v>
      </c>
      <c r="F108" s="187">
        <v>407</v>
      </c>
      <c r="G108" s="187">
        <v>547.70000000000005</v>
      </c>
      <c r="H108" s="187">
        <v>643.20000000000005</v>
      </c>
      <c r="I108" s="187">
        <v>384.3</v>
      </c>
      <c r="J108" s="187">
        <v>801</v>
      </c>
      <c r="K108" s="187">
        <v>548</v>
      </c>
      <c r="L108" s="187">
        <v>444</v>
      </c>
      <c r="M108" s="187">
        <v>561.79999999999995</v>
      </c>
      <c r="N108" s="187">
        <v>392</v>
      </c>
      <c r="O108" s="187">
        <v>481.3</v>
      </c>
      <c r="P108" s="187">
        <v>423</v>
      </c>
      <c r="Q108" s="187">
        <v>814.5</v>
      </c>
      <c r="R108" s="187">
        <v>490.2</v>
      </c>
      <c r="S108" s="196">
        <v>807.7</v>
      </c>
    </row>
    <row r="109" spans="2:19">
      <c r="B109" s="194">
        <v>32.4</v>
      </c>
      <c r="C109" s="195">
        <v>445</v>
      </c>
      <c r="D109" s="187">
        <v>444.2</v>
      </c>
      <c r="E109" s="187">
        <v>277.8</v>
      </c>
      <c r="F109" s="187">
        <v>406.3</v>
      </c>
      <c r="G109" s="187">
        <v>546.29999999999995</v>
      </c>
      <c r="H109" s="187">
        <v>641.9</v>
      </c>
      <c r="I109" s="187">
        <v>383.5</v>
      </c>
      <c r="J109" s="187">
        <v>799</v>
      </c>
      <c r="K109" s="187">
        <v>546.70000000000005</v>
      </c>
      <c r="L109" s="187">
        <v>443.1</v>
      </c>
      <c r="M109" s="187">
        <v>560.79999999999995</v>
      </c>
      <c r="N109" s="187">
        <v>391.3</v>
      </c>
      <c r="O109" s="187">
        <v>480.2</v>
      </c>
      <c r="P109" s="187">
        <v>422.3</v>
      </c>
      <c r="Q109" s="187">
        <v>813.1</v>
      </c>
      <c r="R109" s="187">
        <v>489.1</v>
      </c>
      <c r="S109" s="196">
        <v>806.1</v>
      </c>
    </row>
    <row r="110" spans="2:19">
      <c r="B110" s="194">
        <v>33</v>
      </c>
      <c r="C110" s="195">
        <v>444</v>
      </c>
      <c r="D110" s="187">
        <v>443.5</v>
      </c>
      <c r="E110" s="187">
        <v>277.3</v>
      </c>
      <c r="F110" s="187">
        <v>405.5</v>
      </c>
      <c r="G110" s="187">
        <v>545.1</v>
      </c>
      <c r="H110" s="187">
        <v>640.5</v>
      </c>
      <c r="I110" s="187">
        <v>382.7</v>
      </c>
      <c r="J110" s="187">
        <v>797.2</v>
      </c>
      <c r="K110" s="187">
        <v>545.1</v>
      </c>
      <c r="L110" s="187">
        <v>442.3</v>
      </c>
      <c r="M110" s="187">
        <v>559.70000000000005</v>
      </c>
      <c r="N110" s="187">
        <v>390.5</v>
      </c>
      <c r="O110" s="187">
        <v>479.3</v>
      </c>
      <c r="P110" s="187">
        <v>421.6</v>
      </c>
      <c r="Q110" s="187">
        <v>811.5</v>
      </c>
      <c r="R110" s="187">
        <v>488.1</v>
      </c>
      <c r="S110" s="196">
        <v>804.1</v>
      </c>
    </row>
    <row r="111" spans="2:19">
      <c r="B111" s="194">
        <v>33.6</v>
      </c>
      <c r="C111" s="195">
        <v>443</v>
      </c>
      <c r="D111" s="187">
        <v>442.5</v>
      </c>
      <c r="E111" s="187">
        <v>276.7</v>
      </c>
      <c r="F111" s="187">
        <v>404.6</v>
      </c>
      <c r="G111" s="187">
        <v>543.6</v>
      </c>
      <c r="H111" s="187">
        <v>639.4</v>
      </c>
      <c r="I111" s="187">
        <v>381.7</v>
      </c>
      <c r="J111" s="187">
        <v>795.1</v>
      </c>
      <c r="K111" s="187">
        <v>543.6</v>
      </c>
      <c r="L111" s="187">
        <v>441.3</v>
      </c>
      <c r="M111" s="187">
        <v>558.20000000000005</v>
      </c>
      <c r="N111" s="187">
        <v>389.7</v>
      </c>
      <c r="O111" s="187">
        <v>478.3</v>
      </c>
      <c r="P111" s="187">
        <v>420.7</v>
      </c>
      <c r="Q111" s="187">
        <v>809.5</v>
      </c>
      <c r="R111" s="187">
        <v>487.2</v>
      </c>
      <c r="S111" s="196">
        <v>802.1</v>
      </c>
    </row>
    <row r="112" spans="2:19">
      <c r="B112" s="194">
        <v>34.200000000000003</v>
      </c>
      <c r="C112" s="195">
        <v>442</v>
      </c>
      <c r="D112" s="187">
        <v>441.4</v>
      </c>
      <c r="E112" s="187">
        <v>276.10000000000002</v>
      </c>
      <c r="F112" s="187">
        <v>403.7</v>
      </c>
      <c r="G112" s="187">
        <v>542.5</v>
      </c>
      <c r="H112" s="187">
        <v>638.1</v>
      </c>
      <c r="I112" s="187">
        <v>380.9</v>
      </c>
      <c r="J112" s="187">
        <v>792.9</v>
      </c>
      <c r="K112" s="187">
        <v>542.5</v>
      </c>
      <c r="L112" s="187">
        <v>440.4</v>
      </c>
      <c r="M112" s="187">
        <v>557.1</v>
      </c>
      <c r="N112" s="187">
        <v>388.9</v>
      </c>
      <c r="O112" s="187">
        <v>477.3</v>
      </c>
      <c r="P112" s="187">
        <v>419.9</v>
      </c>
      <c r="Q112" s="187">
        <v>807.6</v>
      </c>
      <c r="R112" s="187">
        <v>486</v>
      </c>
      <c r="S112" s="196">
        <v>800.2</v>
      </c>
    </row>
    <row r="113" spans="2:19">
      <c r="B113" s="194">
        <v>34.799999999999997</v>
      </c>
      <c r="C113" s="195">
        <v>441</v>
      </c>
      <c r="D113" s="187">
        <v>440.4</v>
      </c>
      <c r="E113" s="187">
        <v>275.5</v>
      </c>
      <c r="F113" s="187">
        <v>402.9</v>
      </c>
      <c r="G113" s="187">
        <v>541.29999999999995</v>
      </c>
      <c r="H113" s="187">
        <v>636.79999999999995</v>
      </c>
      <c r="I113" s="187">
        <v>380</v>
      </c>
      <c r="J113" s="187">
        <v>791.2</v>
      </c>
      <c r="K113" s="187">
        <v>541.4</v>
      </c>
      <c r="L113" s="187">
        <v>439.4</v>
      </c>
      <c r="M113" s="187">
        <v>556</v>
      </c>
      <c r="N113" s="187">
        <v>388.1</v>
      </c>
      <c r="O113" s="187">
        <v>476.3</v>
      </c>
      <c r="P113" s="187">
        <v>419.2</v>
      </c>
      <c r="Q113" s="187">
        <v>806.3</v>
      </c>
      <c r="R113" s="187">
        <v>485.1</v>
      </c>
      <c r="S113" s="196">
        <v>798.9</v>
      </c>
    </row>
    <row r="114" spans="2:19">
      <c r="B114" s="194">
        <v>35.4</v>
      </c>
      <c r="C114" s="195">
        <v>440</v>
      </c>
      <c r="D114" s="187">
        <v>439.4</v>
      </c>
      <c r="E114" s="187">
        <v>274.8</v>
      </c>
      <c r="F114" s="187">
        <v>401.8</v>
      </c>
      <c r="G114" s="187">
        <v>540.20000000000005</v>
      </c>
      <c r="H114" s="187">
        <v>635.4</v>
      </c>
      <c r="I114" s="187">
        <v>379.1</v>
      </c>
      <c r="J114" s="187">
        <v>789.4</v>
      </c>
      <c r="K114" s="187">
        <v>540.20000000000005</v>
      </c>
      <c r="L114" s="187">
        <v>438.4</v>
      </c>
      <c r="M114" s="187">
        <v>554.9</v>
      </c>
      <c r="N114" s="187">
        <v>387</v>
      </c>
      <c r="O114" s="187">
        <v>475.5</v>
      </c>
      <c r="P114" s="187">
        <v>418.5</v>
      </c>
      <c r="Q114" s="187">
        <v>804.1</v>
      </c>
      <c r="R114" s="187">
        <v>484.2</v>
      </c>
      <c r="S114" s="196">
        <v>797.4</v>
      </c>
    </row>
    <row r="115" spans="2:19">
      <c r="B115" s="194">
        <v>36</v>
      </c>
      <c r="C115" s="195">
        <v>439</v>
      </c>
      <c r="D115" s="187">
        <v>438.3</v>
      </c>
      <c r="E115" s="187">
        <v>274.2</v>
      </c>
      <c r="F115" s="187">
        <v>401</v>
      </c>
      <c r="G115" s="187">
        <v>538.79999999999995</v>
      </c>
      <c r="H115" s="187">
        <v>633.70000000000005</v>
      </c>
      <c r="I115" s="187">
        <v>378.2</v>
      </c>
      <c r="J115" s="187">
        <v>787.3</v>
      </c>
      <c r="K115" s="187">
        <v>538.79999999999995</v>
      </c>
      <c r="L115" s="187">
        <v>437.4</v>
      </c>
      <c r="M115" s="187">
        <v>553.79999999999995</v>
      </c>
      <c r="N115" s="187">
        <v>386.2</v>
      </c>
      <c r="O115" s="187">
        <v>474.3</v>
      </c>
      <c r="P115" s="187">
        <v>417.5</v>
      </c>
      <c r="Q115" s="187">
        <v>802.3</v>
      </c>
      <c r="R115" s="187">
        <v>483.2</v>
      </c>
      <c r="S115" s="196">
        <v>795.4</v>
      </c>
    </row>
    <row r="116" spans="2:19">
      <c r="B116" s="194">
        <v>36.6</v>
      </c>
      <c r="C116" s="195">
        <v>438</v>
      </c>
      <c r="D116" s="187">
        <v>437.3</v>
      </c>
      <c r="E116" s="187">
        <v>273.39999999999998</v>
      </c>
      <c r="F116" s="187">
        <v>399.8</v>
      </c>
      <c r="G116" s="187">
        <v>537.70000000000005</v>
      </c>
      <c r="H116" s="187">
        <v>632</v>
      </c>
      <c r="I116" s="187">
        <v>377.2</v>
      </c>
      <c r="J116" s="187">
        <v>785.3</v>
      </c>
      <c r="K116" s="187">
        <v>537.70000000000005</v>
      </c>
      <c r="L116" s="187">
        <v>436.4</v>
      </c>
      <c r="M116" s="187">
        <v>552.5</v>
      </c>
      <c r="N116" s="187">
        <v>385.1</v>
      </c>
      <c r="O116" s="187">
        <v>473.1</v>
      </c>
      <c r="P116" s="187">
        <v>416.6</v>
      </c>
      <c r="Q116" s="187">
        <v>800</v>
      </c>
      <c r="R116" s="187">
        <v>482.4</v>
      </c>
      <c r="S116" s="196">
        <v>793.1</v>
      </c>
    </row>
    <row r="117" spans="2:19">
      <c r="B117" s="194">
        <v>37.200000000000003</v>
      </c>
      <c r="C117" s="195">
        <v>437</v>
      </c>
      <c r="D117" s="187">
        <v>436.3</v>
      </c>
      <c r="E117" s="187">
        <v>272.8</v>
      </c>
      <c r="F117" s="187">
        <v>398.9</v>
      </c>
      <c r="G117" s="187">
        <v>536.29999999999995</v>
      </c>
      <c r="H117" s="187">
        <v>630.4</v>
      </c>
      <c r="I117" s="187">
        <v>376.2</v>
      </c>
      <c r="J117" s="187">
        <v>783.3</v>
      </c>
      <c r="K117" s="187">
        <v>536.29999999999995</v>
      </c>
      <c r="L117" s="187">
        <v>435.2</v>
      </c>
      <c r="M117" s="187">
        <v>551</v>
      </c>
      <c r="N117" s="187">
        <v>384.2</v>
      </c>
      <c r="O117" s="187">
        <v>471.9</v>
      </c>
      <c r="P117" s="187">
        <v>415.8</v>
      </c>
      <c r="Q117" s="187">
        <v>798</v>
      </c>
      <c r="R117" s="187">
        <v>481.4</v>
      </c>
      <c r="S117" s="196">
        <v>791.1</v>
      </c>
    </row>
    <row r="118" spans="2:19">
      <c r="B118" s="194">
        <v>37.799999999999997</v>
      </c>
      <c r="C118" s="195">
        <v>436</v>
      </c>
      <c r="D118" s="187">
        <v>435.2</v>
      </c>
      <c r="E118" s="187">
        <v>272.2</v>
      </c>
      <c r="F118" s="187">
        <v>398</v>
      </c>
      <c r="G118" s="187">
        <v>534.79999999999995</v>
      </c>
      <c r="H118" s="187">
        <v>628.79999999999995</v>
      </c>
      <c r="I118" s="187">
        <v>375.3</v>
      </c>
      <c r="J118" s="187">
        <v>781.3</v>
      </c>
      <c r="K118" s="187">
        <v>534.79999999999995</v>
      </c>
      <c r="L118" s="187">
        <v>433.9</v>
      </c>
      <c r="M118" s="187">
        <v>549.4</v>
      </c>
      <c r="N118" s="187">
        <v>383.4</v>
      </c>
      <c r="O118" s="187">
        <v>470.4</v>
      </c>
      <c r="P118" s="187">
        <v>415</v>
      </c>
      <c r="Q118" s="187">
        <v>796.4</v>
      </c>
      <c r="R118" s="187">
        <v>480.3</v>
      </c>
      <c r="S118" s="196">
        <v>789</v>
      </c>
    </row>
    <row r="119" spans="2:19">
      <c r="B119" s="194">
        <v>38.4</v>
      </c>
      <c r="C119" s="195">
        <v>435</v>
      </c>
      <c r="D119" s="187">
        <v>434.2</v>
      </c>
      <c r="E119" s="187">
        <v>271.60000000000002</v>
      </c>
      <c r="F119" s="187">
        <v>397.2</v>
      </c>
      <c r="G119" s="187">
        <v>533.6</v>
      </c>
      <c r="H119" s="187">
        <v>627.1</v>
      </c>
      <c r="I119" s="187">
        <v>374.1</v>
      </c>
      <c r="J119" s="187">
        <v>779.3</v>
      </c>
      <c r="K119" s="187">
        <v>533.5</v>
      </c>
      <c r="L119" s="187">
        <v>432.7</v>
      </c>
      <c r="M119" s="187">
        <v>547.9</v>
      </c>
      <c r="N119" s="187">
        <v>382.5</v>
      </c>
      <c r="O119" s="187">
        <v>469.3</v>
      </c>
      <c r="P119" s="187">
        <v>414.2</v>
      </c>
      <c r="Q119" s="187">
        <v>794.6</v>
      </c>
      <c r="R119" s="187">
        <v>479.4</v>
      </c>
      <c r="S119" s="196">
        <v>787.1</v>
      </c>
    </row>
    <row r="120" spans="2:19">
      <c r="B120" s="194">
        <v>39</v>
      </c>
      <c r="C120" s="195">
        <v>434</v>
      </c>
      <c r="D120" s="187">
        <v>433</v>
      </c>
      <c r="E120" s="187">
        <v>270.89999999999998</v>
      </c>
      <c r="F120" s="187">
        <v>396.1</v>
      </c>
      <c r="G120" s="187">
        <v>531.4</v>
      </c>
      <c r="H120" s="187">
        <v>625.4</v>
      </c>
      <c r="I120" s="187">
        <v>373</v>
      </c>
      <c r="J120" s="187">
        <v>777.3</v>
      </c>
      <c r="K120" s="187">
        <v>532.20000000000005</v>
      </c>
      <c r="L120" s="187">
        <v>431.5</v>
      </c>
      <c r="M120" s="187">
        <v>546.1</v>
      </c>
      <c r="N120" s="187">
        <v>381.5</v>
      </c>
      <c r="O120" s="187">
        <v>467.7</v>
      </c>
      <c r="P120" s="187">
        <v>413.3</v>
      </c>
      <c r="Q120" s="187">
        <v>792.4</v>
      </c>
      <c r="R120" s="187">
        <v>478.2</v>
      </c>
      <c r="S120" s="196">
        <v>784.9</v>
      </c>
    </row>
    <row r="121" spans="2:19">
      <c r="B121" s="194">
        <v>39.6</v>
      </c>
      <c r="C121" s="195">
        <v>433</v>
      </c>
      <c r="D121" s="187">
        <v>431.7</v>
      </c>
      <c r="E121" s="187">
        <v>270.2</v>
      </c>
      <c r="F121" s="187">
        <v>395.1</v>
      </c>
      <c r="G121" s="187">
        <v>530.29999999999995</v>
      </c>
      <c r="H121" s="187">
        <v>623.6</v>
      </c>
      <c r="I121" s="187">
        <v>372.1</v>
      </c>
      <c r="J121" s="187">
        <v>775.3</v>
      </c>
      <c r="K121" s="187">
        <v>530.9</v>
      </c>
      <c r="L121" s="187">
        <v>430.6</v>
      </c>
      <c r="M121" s="187">
        <v>544.9</v>
      </c>
      <c r="N121" s="187">
        <v>380.6</v>
      </c>
      <c r="O121" s="187">
        <v>466.6</v>
      </c>
      <c r="P121" s="187">
        <v>412.5</v>
      </c>
      <c r="Q121" s="187">
        <v>790.8</v>
      </c>
      <c r="R121" s="187">
        <v>477.1</v>
      </c>
      <c r="S121" s="196">
        <v>782.5</v>
      </c>
    </row>
    <row r="122" spans="2:19">
      <c r="B122" s="194">
        <v>40.200000000000003</v>
      </c>
      <c r="C122" s="195">
        <v>432</v>
      </c>
      <c r="D122" s="187">
        <v>430.7</v>
      </c>
      <c r="E122" s="187">
        <v>269.7</v>
      </c>
      <c r="F122" s="187">
        <v>394.4</v>
      </c>
      <c r="G122" s="187">
        <v>529.20000000000005</v>
      </c>
      <c r="H122" s="187">
        <v>622.20000000000005</v>
      </c>
      <c r="I122" s="187">
        <v>371</v>
      </c>
      <c r="J122" s="187">
        <v>773.3</v>
      </c>
      <c r="K122" s="187">
        <v>529.6</v>
      </c>
      <c r="L122" s="187">
        <v>429.6</v>
      </c>
      <c r="M122" s="187">
        <v>543.4</v>
      </c>
      <c r="N122" s="187">
        <v>379.9</v>
      </c>
      <c r="O122" s="187">
        <v>465.7</v>
      </c>
      <c r="P122" s="187">
        <v>411.7</v>
      </c>
      <c r="Q122" s="187">
        <v>789.2</v>
      </c>
      <c r="R122" s="187">
        <v>475.8</v>
      </c>
      <c r="S122" s="196">
        <v>780.7</v>
      </c>
    </row>
    <row r="123" spans="2:19">
      <c r="B123" s="194">
        <v>40.799999999999997</v>
      </c>
      <c r="C123" s="195">
        <v>431</v>
      </c>
      <c r="D123" s="187">
        <v>429.9</v>
      </c>
      <c r="E123" s="187">
        <v>269.10000000000002</v>
      </c>
      <c r="F123" s="187">
        <v>393.5</v>
      </c>
      <c r="G123" s="187">
        <v>528.20000000000005</v>
      </c>
      <c r="H123" s="187">
        <v>620.5</v>
      </c>
      <c r="I123" s="187">
        <v>370.1</v>
      </c>
      <c r="J123" s="187">
        <v>771.3</v>
      </c>
      <c r="K123" s="187">
        <v>528.20000000000005</v>
      </c>
      <c r="L123" s="187">
        <v>428.7</v>
      </c>
      <c r="M123" s="187">
        <v>542.1</v>
      </c>
      <c r="N123" s="187">
        <v>379</v>
      </c>
      <c r="O123" s="187">
        <v>464.6</v>
      </c>
      <c r="P123" s="187">
        <v>411.1</v>
      </c>
      <c r="Q123" s="187">
        <v>787.4</v>
      </c>
      <c r="R123" s="187">
        <v>474.9</v>
      </c>
      <c r="S123" s="196">
        <v>778.9</v>
      </c>
    </row>
    <row r="124" spans="2:19">
      <c r="B124" s="194">
        <v>41.4</v>
      </c>
      <c r="C124" s="195">
        <v>430</v>
      </c>
      <c r="D124" s="187">
        <v>429.1</v>
      </c>
      <c r="E124" s="187">
        <v>268.5</v>
      </c>
      <c r="F124" s="187">
        <v>392.6</v>
      </c>
      <c r="G124" s="187">
        <v>526.6</v>
      </c>
      <c r="H124" s="187">
        <v>618.9</v>
      </c>
      <c r="I124" s="187">
        <v>368.9</v>
      </c>
      <c r="J124" s="187">
        <v>769.3</v>
      </c>
      <c r="K124" s="187">
        <v>526.6</v>
      </c>
      <c r="L124" s="187">
        <v>427.9</v>
      </c>
      <c r="M124" s="187">
        <v>540.6</v>
      </c>
      <c r="N124" s="187">
        <v>378.2</v>
      </c>
      <c r="O124" s="187">
        <v>463.1</v>
      </c>
      <c r="P124" s="187">
        <v>410.3</v>
      </c>
      <c r="Q124" s="187">
        <v>785.7</v>
      </c>
      <c r="R124" s="187">
        <v>473.9</v>
      </c>
      <c r="S124" s="196">
        <v>777.7</v>
      </c>
    </row>
    <row r="125" spans="2:19">
      <c r="B125" s="194">
        <v>42</v>
      </c>
      <c r="C125" s="195">
        <v>429</v>
      </c>
      <c r="D125" s="187">
        <v>428.2</v>
      </c>
      <c r="E125" s="187">
        <v>267.8</v>
      </c>
      <c r="F125" s="187">
        <v>391.6</v>
      </c>
      <c r="G125" s="187">
        <v>525.20000000000005</v>
      </c>
      <c r="H125" s="187">
        <v>617.6</v>
      </c>
      <c r="I125" s="187">
        <v>367.9</v>
      </c>
      <c r="J125" s="187">
        <v>767.3</v>
      </c>
      <c r="K125" s="187">
        <v>525.20000000000005</v>
      </c>
      <c r="L125" s="187">
        <v>426.9</v>
      </c>
      <c r="M125" s="187">
        <v>539.20000000000005</v>
      </c>
      <c r="N125" s="187">
        <v>377.3</v>
      </c>
      <c r="O125" s="187">
        <v>462.2</v>
      </c>
      <c r="P125" s="187">
        <v>409.4</v>
      </c>
      <c r="Q125" s="187">
        <v>783.7</v>
      </c>
      <c r="R125" s="187">
        <v>473.1</v>
      </c>
      <c r="S125" s="196">
        <v>775.1</v>
      </c>
    </row>
    <row r="126" spans="2:19">
      <c r="B126" s="194">
        <v>42.6</v>
      </c>
      <c r="C126" s="195">
        <v>428</v>
      </c>
      <c r="D126" s="187">
        <v>427.2</v>
      </c>
      <c r="E126" s="187">
        <v>267.3</v>
      </c>
      <c r="F126" s="187">
        <v>390.8</v>
      </c>
      <c r="G126" s="187">
        <v>523.70000000000005</v>
      </c>
      <c r="H126" s="187">
        <v>615.79999999999995</v>
      </c>
      <c r="I126" s="187">
        <v>366.9</v>
      </c>
      <c r="J126" s="187">
        <v>765.1</v>
      </c>
      <c r="K126" s="187">
        <v>523.70000000000005</v>
      </c>
      <c r="L126" s="187">
        <v>425.8</v>
      </c>
      <c r="M126" s="187">
        <v>537.70000000000005</v>
      </c>
      <c r="N126" s="187">
        <v>376.5</v>
      </c>
      <c r="O126" s="187">
        <v>460.9</v>
      </c>
      <c r="P126" s="187">
        <v>408.4</v>
      </c>
      <c r="Q126" s="187">
        <v>782.2</v>
      </c>
      <c r="R126" s="187">
        <v>471.6</v>
      </c>
      <c r="S126" s="196">
        <v>773.5</v>
      </c>
    </row>
    <row r="127" spans="2:19">
      <c r="B127" s="194">
        <v>43.2</v>
      </c>
      <c r="C127" s="195">
        <v>427</v>
      </c>
      <c r="D127" s="187">
        <v>426.1</v>
      </c>
      <c r="E127" s="187">
        <v>266.5</v>
      </c>
      <c r="F127" s="187">
        <v>389.7</v>
      </c>
      <c r="G127" s="187">
        <v>522.1</v>
      </c>
      <c r="H127" s="187">
        <v>614.20000000000005</v>
      </c>
      <c r="I127" s="187">
        <v>366</v>
      </c>
      <c r="J127" s="187">
        <v>763</v>
      </c>
      <c r="K127" s="187">
        <v>522.1</v>
      </c>
      <c r="L127" s="187">
        <v>424.7</v>
      </c>
      <c r="M127" s="187">
        <v>535.70000000000005</v>
      </c>
      <c r="N127" s="187">
        <v>375.4</v>
      </c>
      <c r="O127" s="187">
        <v>459.7</v>
      </c>
      <c r="P127" s="187">
        <v>407.6</v>
      </c>
      <c r="Q127" s="187">
        <v>780</v>
      </c>
      <c r="R127" s="187">
        <v>470.8</v>
      </c>
      <c r="S127" s="196">
        <v>771.2</v>
      </c>
    </row>
    <row r="128" spans="2:19">
      <c r="B128" s="194">
        <v>43.8</v>
      </c>
      <c r="C128" s="195">
        <v>426</v>
      </c>
      <c r="D128" s="187">
        <v>425.3</v>
      </c>
      <c r="E128" s="187">
        <v>265.8</v>
      </c>
      <c r="F128" s="187">
        <v>388.7</v>
      </c>
      <c r="G128" s="187">
        <v>521</v>
      </c>
      <c r="H128" s="187">
        <v>612.70000000000005</v>
      </c>
      <c r="I128" s="187">
        <v>365.1</v>
      </c>
      <c r="J128" s="187">
        <v>761</v>
      </c>
      <c r="K128" s="187">
        <v>521</v>
      </c>
      <c r="L128" s="187">
        <v>423.8</v>
      </c>
      <c r="M128" s="187">
        <v>534.5</v>
      </c>
      <c r="N128" s="187">
        <v>374.5</v>
      </c>
      <c r="O128" s="187">
        <v>458.2</v>
      </c>
      <c r="P128" s="187">
        <v>407</v>
      </c>
      <c r="Q128" s="187">
        <v>778</v>
      </c>
      <c r="R128" s="187">
        <v>469.6</v>
      </c>
      <c r="S128" s="196">
        <v>768.8</v>
      </c>
    </row>
    <row r="129" spans="2:19">
      <c r="B129" s="194">
        <v>44.4</v>
      </c>
      <c r="C129" s="195">
        <v>425</v>
      </c>
      <c r="D129" s="187">
        <v>424.5</v>
      </c>
      <c r="E129" s="187">
        <v>265</v>
      </c>
      <c r="F129" s="187">
        <v>387.5</v>
      </c>
      <c r="G129" s="187">
        <v>519.29999999999995</v>
      </c>
      <c r="H129" s="187">
        <v>610.79999999999995</v>
      </c>
      <c r="I129" s="187">
        <v>364.1</v>
      </c>
      <c r="J129" s="187">
        <v>759</v>
      </c>
      <c r="K129" s="187">
        <v>519.29999999999995</v>
      </c>
      <c r="L129" s="187">
        <v>422.8</v>
      </c>
      <c r="M129" s="187">
        <v>532.5</v>
      </c>
      <c r="N129" s="187">
        <v>373.4</v>
      </c>
      <c r="O129" s="187">
        <v>456.7</v>
      </c>
      <c r="P129" s="187">
        <v>406</v>
      </c>
      <c r="Q129" s="187">
        <v>775.7</v>
      </c>
      <c r="R129" s="187">
        <v>468.4</v>
      </c>
      <c r="S129" s="196">
        <v>766.5</v>
      </c>
    </row>
    <row r="130" spans="2:19">
      <c r="B130" s="194">
        <v>45</v>
      </c>
      <c r="C130" s="195">
        <v>424</v>
      </c>
      <c r="D130" s="187">
        <v>423.5</v>
      </c>
      <c r="E130" s="187">
        <v>264.5</v>
      </c>
      <c r="F130" s="187">
        <v>386.8</v>
      </c>
      <c r="G130" s="187">
        <v>517.79999999999995</v>
      </c>
      <c r="H130" s="187">
        <v>609</v>
      </c>
      <c r="I130" s="187">
        <v>363</v>
      </c>
      <c r="J130" s="187">
        <v>757</v>
      </c>
      <c r="K130" s="187">
        <v>517.79999999999995</v>
      </c>
      <c r="L130" s="187">
        <v>421.9</v>
      </c>
      <c r="M130" s="187">
        <v>530.9</v>
      </c>
      <c r="N130" s="187">
        <v>372.6</v>
      </c>
      <c r="O130" s="187">
        <v>455.5</v>
      </c>
      <c r="P130" s="187">
        <v>405.1</v>
      </c>
      <c r="Q130" s="187">
        <v>773.9</v>
      </c>
      <c r="R130" s="187">
        <v>467.4</v>
      </c>
      <c r="S130" s="196">
        <v>764.1</v>
      </c>
    </row>
    <row r="131" spans="2:19">
      <c r="B131" s="197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</row>
  </sheetData>
  <sheetProtection algorithmName="SHA-512" hashValue="3jz0ryLVL85VaQraTj12Mz2oVLh47qSPDrJRiY3056ZCWx4c65jzHdmXvBVoQNyHft0FSzx3XbaLZz1romd/cQ==" saltValue="aS0gb/Od0wO2xgxhwkfk8g==" spinCount="100000" sheet="1" objects="1" scenarios="1" selectLockedCells="1" selectUnlockedCells="1"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T60"/>
  <sheetViews>
    <sheetView showGridLines="0" topLeftCell="B1" zoomScale="85" zoomScaleNormal="85" workbookViewId="0">
      <pane ySplit="9" topLeftCell="A10" activePane="bottomLeft" state="frozen"/>
      <selection activeCell="B1" sqref="B1"/>
      <selection pane="bottomLeft" activeCell="G24" sqref="G24:G27"/>
    </sheetView>
  </sheetViews>
  <sheetFormatPr defaultRowHeight="16.5"/>
  <cols>
    <col min="1" max="1" width="18.75" style="25" customWidth="1"/>
    <col min="2" max="2" width="18.875" customWidth="1"/>
    <col min="8" max="8" width="9" style="25"/>
    <col min="9" max="9" width="9.25" bestFit="1" customWidth="1"/>
    <col min="10" max="10" width="9.5" hidden="1" customWidth="1"/>
    <col min="11" max="11" width="13.75" style="25" customWidth="1"/>
    <col min="12" max="12" width="15.125" customWidth="1"/>
    <col min="13" max="13" width="10.625" customWidth="1"/>
    <col min="15" max="15" width="18.5" customWidth="1"/>
    <col min="16" max="17" width="7.875" customWidth="1"/>
    <col min="18" max="18" width="8.125" customWidth="1"/>
    <col min="19" max="19" width="7.875" customWidth="1"/>
    <col min="20" max="20" width="7.375" customWidth="1"/>
  </cols>
  <sheetData>
    <row r="2" spans="1:20" ht="16.5" customHeight="1">
      <c r="C2" s="100" t="s">
        <v>121</v>
      </c>
      <c r="D2" s="100" t="s">
        <v>122</v>
      </c>
      <c r="E2" s="100" t="s">
        <v>93</v>
      </c>
      <c r="F2" s="133" t="str">
        <f>탐구계산sheet!C2</f>
        <v>물리1</v>
      </c>
      <c r="G2" s="133" t="str">
        <f>탐구계산sheet!D2</f>
        <v>화학2</v>
      </c>
      <c r="H2" s="94"/>
      <c r="J2" s="315" t="s">
        <v>551</v>
      </c>
      <c r="K2" s="316"/>
      <c r="L2" s="316"/>
      <c r="M2" s="316"/>
      <c r="N2" s="316"/>
      <c r="O2" s="316"/>
      <c r="P2" s="316"/>
      <c r="Q2" s="316"/>
      <c r="R2" s="317"/>
    </row>
    <row r="3" spans="1:20" ht="16.5" customHeight="1">
      <c r="B3" s="64" t="s">
        <v>123</v>
      </c>
      <c r="C3" s="105">
        <v>132</v>
      </c>
      <c r="D3" s="105">
        <v>138</v>
      </c>
      <c r="E3" s="105">
        <v>136</v>
      </c>
      <c r="F3" s="105"/>
      <c r="G3" s="105"/>
      <c r="H3" s="95"/>
      <c r="J3" s="318"/>
      <c r="K3" s="319"/>
      <c r="L3" s="319"/>
      <c r="M3" s="319"/>
      <c r="N3" s="319"/>
      <c r="O3" s="319"/>
      <c r="P3" s="319"/>
      <c r="Q3" s="319"/>
      <c r="R3" s="320"/>
    </row>
    <row r="4" spans="1:20">
      <c r="B4" s="64" t="s">
        <v>5</v>
      </c>
      <c r="C4" s="65">
        <f>점수입력!C18</f>
        <v>131</v>
      </c>
      <c r="D4" s="65">
        <f>점수입력!C19</f>
        <v>132</v>
      </c>
      <c r="E4" s="65">
        <f>점수입력!C20</f>
        <v>123</v>
      </c>
      <c r="F4" s="65">
        <f>점수입력!C21</f>
        <v>66</v>
      </c>
      <c r="G4" s="65">
        <f>점수입력!C22</f>
        <v>67</v>
      </c>
      <c r="H4" s="97"/>
      <c r="J4" s="81"/>
      <c r="K4" s="81"/>
      <c r="L4" s="82" t="s">
        <v>162</v>
      </c>
      <c r="M4" s="83" t="str">
        <f>점수입력!J4</f>
        <v>2013.12.26</v>
      </c>
      <c r="N4" s="81"/>
      <c r="O4" s="81" t="str">
        <f>점수입력!L4</f>
        <v>am 4:00</v>
      </c>
      <c r="P4" s="81"/>
      <c r="Q4" s="81"/>
    </row>
    <row r="5" spans="1:20">
      <c r="B5" s="64" t="s">
        <v>124</v>
      </c>
      <c r="C5" s="65">
        <f>점수입력!D18</f>
        <v>0</v>
      </c>
      <c r="D5" s="65">
        <f>점수입력!D19</f>
        <v>0</v>
      </c>
      <c r="E5" s="65">
        <f>점수입력!D20</f>
        <v>0</v>
      </c>
      <c r="F5" s="65">
        <f>점수입력!D21</f>
        <v>92</v>
      </c>
      <c r="G5" s="65">
        <f>점수입력!D22</f>
        <v>94</v>
      </c>
      <c r="H5" s="97"/>
      <c r="J5" s="321" t="s">
        <v>525</v>
      </c>
      <c r="K5" s="322"/>
      <c r="L5" s="322"/>
      <c r="M5" s="322"/>
      <c r="N5" s="322"/>
      <c r="O5" s="322"/>
      <c r="P5" s="322"/>
      <c r="Q5" s="322"/>
      <c r="R5" s="323"/>
    </row>
    <row r="6" spans="1:20" hidden="1">
      <c r="B6" t="s">
        <v>12</v>
      </c>
      <c r="C6">
        <f>C4</f>
        <v>131</v>
      </c>
      <c r="D6">
        <f>D4</f>
        <v>132</v>
      </c>
      <c r="E6">
        <f>E4</f>
        <v>123</v>
      </c>
    </row>
    <row r="7" spans="1:20" s="25" customFormat="1">
      <c r="F7" s="80"/>
      <c r="G7" s="80"/>
      <c r="H7" s="80"/>
      <c r="L7" s="50"/>
      <c r="M7" s="50"/>
    </row>
    <row r="8" spans="1:20" s="25" customFormat="1"/>
    <row r="9" spans="1:20">
      <c r="A9" s="36"/>
      <c r="B9" s="84" t="s">
        <v>166</v>
      </c>
      <c r="C9" s="86" t="s">
        <v>0</v>
      </c>
      <c r="D9" s="86" t="s">
        <v>6</v>
      </c>
      <c r="E9" s="86" t="s">
        <v>163</v>
      </c>
      <c r="F9" s="86" t="s">
        <v>15</v>
      </c>
      <c r="G9" s="86" t="s">
        <v>16</v>
      </c>
      <c r="H9" s="86" t="s">
        <v>187</v>
      </c>
      <c r="I9" s="86" t="s">
        <v>179</v>
      </c>
      <c r="J9" s="90" t="s">
        <v>180</v>
      </c>
      <c r="K9" s="90" t="s">
        <v>406</v>
      </c>
      <c r="L9" s="166" t="s">
        <v>323</v>
      </c>
      <c r="O9" s="84" t="s">
        <v>252</v>
      </c>
      <c r="P9" s="85" t="s">
        <v>183</v>
      </c>
      <c r="Q9" s="85" t="s">
        <v>6</v>
      </c>
      <c r="R9" s="85" t="s">
        <v>163</v>
      </c>
      <c r="S9" s="85" t="s">
        <v>184</v>
      </c>
      <c r="T9" s="85" t="s">
        <v>16</v>
      </c>
    </row>
    <row r="10" spans="1:20">
      <c r="A10" s="36"/>
      <c r="B10" s="84" t="s">
        <v>167</v>
      </c>
      <c r="C10" s="88">
        <f t="shared" ref="C10:C24" si="0">C$6*P10</f>
        <v>131</v>
      </c>
      <c r="D10" s="88">
        <f t="shared" ref="D10:D24" si="1">D$6*Q10</f>
        <v>158.4</v>
      </c>
      <c r="E10" s="88">
        <f t="shared" ref="E10:E24" si="2">E$6*R10</f>
        <v>123</v>
      </c>
      <c r="F10" s="88">
        <f>탐구계산sheet!E22*S10</f>
        <v>52.664000000000001</v>
      </c>
      <c r="G10" s="88">
        <f>탐구계산sheet!F22*T10</f>
        <v>52.256</v>
      </c>
      <c r="H10" s="89">
        <f>SUM(F10:G10)</f>
        <v>104.92</v>
      </c>
      <c r="I10" s="93">
        <f>SUM(C10:G10)*탐구계산sheet!J1*탐구계산sheet!L1</f>
        <v>517.31999999999994</v>
      </c>
      <c r="J10" s="91">
        <v>545.00800000000004</v>
      </c>
      <c r="K10" s="182" t="str">
        <f ca="1">청솔누적!H7</f>
        <v>2.4%~2.5%</v>
      </c>
      <c r="L10" s="167" t="str">
        <f ca="1">칼레누적!H7</f>
        <v>2.31%~2.37%</v>
      </c>
      <c r="O10" s="84" t="s">
        <v>167</v>
      </c>
      <c r="P10" s="89">
        <v>1</v>
      </c>
      <c r="Q10" s="89">
        <v>1.2</v>
      </c>
      <c r="R10" s="89">
        <v>1</v>
      </c>
      <c r="S10" s="89">
        <v>0.8</v>
      </c>
      <c r="T10" s="89">
        <v>0.8</v>
      </c>
    </row>
    <row r="11" spans="1:20" s="25" customFormat="1">
      <c r="A11" s="36"/>
      <c r="B11" s="84" t="s">
        <v>518</v>
      </c>
      <c r="C11" s="88" t="e">
        <f>VLOOKUP(C4,서울대교차지원!B:C,2,FALSE)*P11</f>
        <v>#N/A</v>
      </c>
      <c r="D11" s="88">
        <f>VLOOKUP(D4,서울대교차지원!E:F,2,FALSE)*Q11</f>
        <v>164.4</v>
      </c>
      <c r="E11" s="88">
        <f>E4*R11</f>
        <v>123</v>
      </c>
      <c r="F11" s="88">
        <f>탐구계산sheet!E46*S11</f>
        <v>52.08</v>
      </c>
      <c r="G11" s="88">
        <f>탐구계산sheet!F46*T11</f>
        <v>51.760000000000005</v>
      </c>
      <c r="H11" s="89">
        <f>SUM(F11:G11)</f>
        <v>103.84</v>
      </c>
      <c r="I11" s="93" t="e">
        <f>SUM(C11:G11)*탐구계산sheet!J1*탐구계산sheet!L1</f>
        <v>#N/A</v>
      </c>
      <c r="J11" s="91"/>
      <c r="K11" s="182" t="e">
        <f ca="1">청솔누적!H8</f>
        <v>#N/A</v>
      </c>
      <c r="L11" s="167" t="e">
        <f ca="1">칼레누적!H8</f>
        <v>#N/A</v>
      </c>
      <c r="M11" s="25" t="s">
        <v>520</v>
      </c>
      <c r="O11" s="84" t="s">
        <v>372</v>
      </c>
      <c r="P11" s="89">
        <v>1</v>
      </c>
      <c r="Q11" s="89">
        <v>1.2</v>
      </c>
      <c r="R11" s="89">
        <v>1</v>
      </c>
      <c r="S11" s="89">
        <v>0.8</v>
      </c>
      <c r="T11" s="89">
        <v>0.8</v>
      </c>
    </row>
    <row r="12" spans="1:20">
      <c r="A12" s="36"/>
      <c r="B12" s="84" t="s">
        <v>168</v>
      </c>
      <c r="C12" s="89">
        <f t="shared" si="0"/>
        <v>65.5</v>
      </c>
      <c r="D12" s="89">
        <f t="shared" si="1"/>
        <v>99</v>
      </c>
      <c r="E12" s="89">
        <f t="shared" si="2"/>
        <v>61.5</v>
      </c>
      <c r="F12" s="89">
        <f>탐구계산sheet!E23*S12</f>
        <v>48.607500000000002</v>
      </c>
      <c r="G12" s="89">
        <f>탐구계산sheet!F23*T12</f>
        <v>47.94</v>
      </c>
      <c r="H12" s="89">
        <f t="shared" ref="H12:H34" si="3">SUM(F12:G12)</f>
        <v>96.547499999999999</v>
      </c>
      <c r="I12" s="93">
        <f>SUM(C12:G12)*탐구계산sheet!J1</f>
        <v>322.54750000000001</v>
      </c>
      <c r="J12" s="91">
        <v>341.94499999999994</v>
      </c>
      <c r="K12" s="182" t="str">
        <f ca="1">청솔누적!H9</f>
        <v>2.5%~2.6%</v>
      </c>
      <c r="L12" s="167" t="str">
        <f ca="1">칼레누적!H9</f>
        <v>2.75%~2.81%</v>
      </c>
      <c r="O12" s="84" t="s">
        <v>168</v>
      </c>
      <c r="P12" s="89">
        <v>0.5</v>
      </c>
      <c r="Q12" s="89">
        <v>0.75</v>
      </c>
      <c r="R12" s="89">
        <v>0.5</v>
      </c>
      <c r="S12" s="89">
        <v>0.75</v>
      </c>
      <c r="T12" s="89">
        <v>0.75</v>
      </c>
    </row>
    <row r="13" spans="1:20" s="25" customFormat="1">
      <c r="A13" s="36"/>
      <c r="B13" s="84" t="s">
        <v>519</v>
      </c>
      <c r="C13" s="89">
        <f>C4*P13</f>
        <v>93.571428571428569</v>
      </c>
      <c r="D13" s="89">
        <f t="shared" ref="D13:E13" si="4">D4*Q13</f>
        <v>94.285714285714292</v>
      </c>
      <c r="E13" s="89">
        <f t="shared" si="4"/>
        <v>87.857142857142861</v>
      </c>
      <c r="F13" s="89">
        <f>탐구계산sheet!E48*계산!S13</f>
        <v>22.975000000000001</v>
      </c>
      <c r="G13" s="89">
        <f>탐구계산sheet!F48*계산!T13</f>
        <v>22.75</v>
      </c>
      <c r="H13" s="89">
        <f t="shared" si="3"/>
        <v>45.725000000000001</v>
      </c>
      <c r="I13" s="93">
        <f>SUM(C13:G13)*탐구계산sheet!J1</f>
        <v>321.43928571428575</v>
      </c>
      <c r="J13" s="91"/>
      <c r="K13" s="182" t="str">
        <f ca="1">청솔누적!H23</f>
        <v>3.5%~3.7%</v>
      </c>
      <c r="L13" s="167" t="e">
        <f ca="1">칼레누적!H10</f>
        <v>#N/A</v>
      </c>
      <c r="M13" s="25" t="s">
        <v>520</v>
      </c>
      <c r="O13" s="84" t="s">
        <v>517</v>
      </c>
      <c r="P13" s="89">
        <f>5/7</f>
        <v>0.7142857142857143</v>
      </c>
      <c r="Q13" s="89">
        <f t="shared" ref="Q13:R13" si="5">5/7</f>
        <v>0.7142857142857143</v>
      </c>
      <c r="R13" s="89">
        <f t="shared" si="5"/>
        <v>0.7142857142857143</v>
      </c>
      <c r="S13" s="89">
        <f>2.5/7</f>
        <v>0.35714285714285715</v>
      </c>
      <c r="T13" s="89">
        <f>2.5/7</f>
        <v>0.35714285714285715</v>
      </c>
    </row>
    <row r="14" spans="1:20">
      <c r="A14" s="36"/>
      <c r="B14" s="84" t="s">
        <v>169</v>
      </c>
      <c r="C14" s="89">
        <f t="shared" si="0"/>
        <v>0</v>
      </c>
      <c r="D14" s="89">
        <f t="shared" si="1"/>
        <v>191.1713590545707</v>
      </c>
      <c r="E14" s="89">
        <f t="shared" si="2"/>
        <v>89.068474104970448</v>
      </c>
      <c r="F14" s="89">
        <f>탐구계산sheet!E24*S14</f>
        <v>93.86224076005098</v>
      </c>
      <c r="G14" s="89">
        <f>탐구계산sheet!F24*T14</f>
        <v>92.558799675587977</v>
      </c>
      <c r="H14" s="89">
        <f t="shared" si="3"/>
        <v>186.42104043563896</v>
      </c>
      <c r="I14" s="93">
        <f t="shared" ref="I14:I34" si="6">SUM(C14:G14)</f>
        <v>466.66087359518013</v>
      </c>
      <c r="J14" s="91">
        <v>499.99999999999994</v>
      </c>
      <c r="K14" s="182" t="s">
        <v>460</v>
      </c>
      <c r="L14" s="167" t="str">
        <f ca="1">칼레누적!H11</f>
        <v>3.37%~3.43%</v>
      </c>
      <c r="O14" s="84" t="s">
        <v>169</v>
      </c>
      <c r="P14" s="89">
        <v>0</v>
      </c>
      <c r="Q14" s="89">
        <f>2*500/(SUM($D$3*2+$E$3+('대학별 변환표준점수'!D3*2)*2))</f>
        <v>1.4482678716255357</v>
      </c>
      <c r="R14" s="89">
        <f>500/(SUM($D$3*2+$E$3+('대학별 변환표준점수'!D3*2)*2))</f>
        <v>0.72413393581276786</v>
      </c>
      <c r="S14" s="89">
        <f>2*500/(SUM($D$3*2+$E$3+('대학별 변환표준점수'!D3*2)*2))</f>
        <v>1.4482678716255357</v>
      </c>
      <c r="T14" s="89">
        <f>S14</f>
        <v>1.4482678716255357</v>
      </c>
    </row>
    <row r="15" spans="1:20">
      <c r="A15" s="36"/>
      <c r="B15" s="84" t="s">
        <v>170</v>
      </c>
      <c r="C15" s="88">
        <f t="shared" si="0"/>
        <v>95.779837978533621</v>
      </c>
      <c r="D15" s="88">
        <f t="shared" si="1"/>
        <v>144.76647266984472</v>
      </c>
      <c r="E15" s="88">
        <f t="shared" si="2"/>
        <v>89.930687567630798</v>
      </c>
      <c r="F15" s="88">
        <f>탐구계산sheet!E24*S15</f>
        <v>71.078144649489673</v>
      </c>
      <c r="G15" s="88">
        <f>탐구계산sheet!F24*T15</f>
        <v>70.091100517649807</v>
      </c>
      <c r="H15" s="89">
        <f t="shared" si="3"/>
        <v>141.16924516713948</v>
      </c>
      <c r="I15" s="93">
        <f t="shared" si="6"/>
        <v>471.6462433831486</v>
      </c>
      <c r="J15" s="91">
        <v>500</v>
      </c>
      <c r="K15" s="182" t="str">
        <f ca="1">청솔누적!H11</f>
        <v>2.5%~2.6%</v>
      </c>
      <c r="L15" s="167" t="str">
        <f ca="1">칼레누적!H12</f>
        <v>2.75%~2.81%</v>
      </c>
      <c r="O15" s="84" t="s">
        <v>170</v>
      </c>
      <c r="P15" s="89">
        <f>500/(SUM($C$3+$D$3*1.5+$E$3+('대학별 변환표준점수'!D3*2)*1.5))</f>
        <v>0.73114380136285206</v>
      </c>
      <c r="Q15" s="89">
        <f>500*1.5/(SUM($C$3+$D$3*1.5+$E$3+('대학별 변환표준점수'!D3*2)*1.5))</f>
        <v>1.0967157020442782</v>
      </c>
      <c r="R15" s="89">
        <f>500/(SUM($C$3+$D$3*1.5+$E$3+('대학별 변환표준점수'!D3*2)*1.5))</f>
        <v>0.73114380136285206</v>
      </c>
      <c r="S15" s="89">
        <f>500*1.5/(SUM($C$3+$D$3*1.5+$E$3+('대학별 변환표준점수'!D3*2)*1.5))</f>
        <v>1.0967157020442782</v>
      </c>
      <c r="T15" s="89">
        <f>S15</f>
        <v>1.0967157020442782</v>
      </c>
    </row>
    <row r="16" spans="1:20">
      <c r="A16" s="36"/>
      <c r="B16" s="84" t="s">
        <v>164</v>
      </c>
      <c r="C16" s="88">
        <f t="shared" si="0"/>
        <v>91.699999999999989</v>
      </c>
      <c r="D16" s="88">
        <f t="shared" si="1"/>
        <v>171.6</v>
      </c>
      <c r="E16" s="88">
        <f t="shared" si="2"/>
        <v>147.6</v>
      </c>
      <c r="F16" s="88">
        <f>탐구계산sheet!E25*S16</f>
        <v>51.848000000000006</v>
      </c>
      <c r="G16" s="88">
        <f>탐구계산sheet!F25*T16</f>
        <v>51.136000000000003</v>
      </c>
      <c r="H16" s="89">
        <f t="shared" si="3"/>
        <v>102.98400000000001</v>
      </c>
      <c r="I16" s="93">
        <f t="shared" si="6"/>
        <v>513.88400000000001</v>
      </c>
      <c r="J16" s="91">
        <v>546.40800000000002</v>
      </c>
      <c r="K16" s="182" t="str">
        <f ca="1">청솔누적!H12</f>
        <v>2.8%~3%</v>
      </c>
      <c r="L16" s="167" t="str">
        <f ca="1">칼레누적!H13</f>
        <v>3.12%~3.18%</v>
      </c>
      <c r="O16" s="84" t="s">
        <v>164</v>
      </c>
      <c r="P16" s="89">
        <v>0.7</v>
      </c>
      <c r="Q16" s="89">
        <v>1.3</v>
      </c>
      <c r="R16" s="89">
        <v>1.2</v>
      </c>
      <c r="S16" s="89">
        <v>0.8</v>
      </c>
      <c r="T16" s="89">
        <v>0.8</v>
      </c>
    </row>
    <row r="17" spans="1:20">
      <c r="A17" s="36"/>
      <c r="B17" s="84" t="s">
        <v>20</v>
      </c>
      <c r="C17" s="88">
        <f t="shared" si="0"/>
        <v>0</v>
      </c>
      <c r="D17" s="88">
        <f t="shared" si="1"/>
        <v>132</v>
      </c>
      <c r="E17" s="88">
        <f t="shared" si="2"/>
        <v>0</v>
      </c>
      <c r="F17" s="88">
        <f>탐구계산sheet!E26*S17</f>
        <v>65.91</v>
      </c>
      <c r="G17" s="88">
        <f>탐구계산sheet!F26*T17</f>
        <v>65.02</v>
      </c>
      <c r="H17" s="89">
        <f t="shared" si="3"/>
        <v>130.93</v>
      </c>
      <c r="I17" s="93">
        <f t="shared" si="6"/>
        <v>262.93</v>
      </c>
      <c r="J17" s="91">
        <v>277.26</v>
      </c>
      <c r="K17" s="182" t="s">
        <v>460</v>
      </c>
      <c r="L17" s="167" t="str">
        <f ca="1">칼레누적!H14</f>
        <v>2.68%~2.68%</v>
      </c>
      <c r="O17" s="84" t="s">
        <v>20</v>
      </c>
      <c r="P17" s="89">
        <v>0</v>
      </c>
      <c r="Q17" s="89">
        <v>1</v>
      </c>
      <c r="R17" s="89">
        <v>0</v>
      </c>
      <c r="S17" s="89">
        <v>1</v>
      </c>
      <c r="T17" s="89">
        <v>1</v>
      </c>
    </row>
    <row r="18" spans="1:20">
      <c r="A18" s="36"/>
      <c r="B18" s="84" t="s">
        <v>21</v>
      </c>
      <c r="C18" s="88">
        <f t="shared" si="0"/>
        <v>91.699999999999989</v>
      </c>
      <c r="D18" s="88">
        <f t="shared" si="1"/>
        <v>138.59999999999997</v>
      </c>
      <c r="E18" s="88">
        <f t="shared" si="2"/>
        <v>86.1</v>
      </c>
      <c r="F18" s="88">
        <f>탐구계산sheet!E26*S18</f>
        <v>69.205499999999986</v>
      </c>
      <c r="G18" s="88">
        <f>탐구계산sheet!F26*T18</f>
        <v>68.270999999999987</v>
      </c>
      <c r="H18" s="89">
        <f t="shared" si="3"/>
        <v>137.47649999999999</v>
      </c>
      <c r="I18" s="93">
        <f t="shared" si="6"/>
        <v>453.87649999999996</v>
      </c>
      <c r="J18" s="91">
        <v>478.7229999999999</v>
      </c>
      <c r="K18" s="182" t="str">
        <f ca="1">청솔누적!H14</f>
        <v>2.6%~2.8%</v>
      </c>
      <c r="L18" s="167" t="str">
        <f ca="1">칼레누적!H15</f>
        <v>2.75%~2.81%</v>
      </c>
      <c r="O18" s="84" t="s">
        <v>21</v>
      </c>
      <c r="P18" s="89">
        <v>0.7</v>
      </c>
      <c r="Q18" s="89">
        <f>1.5*0.7</f>
        <v>1.0499999999999998</v>
      </c>
      <c r="R18" s="89">
        <f>1*0.7</f>
        <v>0.7</v>
      </c>
      <c r="S18" s="89">
        <f>1.5*0.7</f>
        <v>1.0499999999999998</v>
      </c>
      <c r="T18" s="89">
        <f>1.5*0.7</f>
        <v>1.0499999999999998</v>
      </c>
    </row>
    <row r="19" spans="1:20">
      <c r="A19" s="36"/>
      <c r="B19" s="84" t="s">
        <v>171</v>
      </c>
      <c r="C19" s="88">
        <f t="shared" si="0"/>
        <v>69.469696969696969</v>
      </c>
      <c r="D19" s="88">
        <f t="shared" si="1"/>
        <v>267.82608695652175</v>
      </c>
      <c r="E19" s="88">
        <f t="shared" si="2"/>
        <v>189.9264705882353</v>
      </c>
      <c r="F19" s="88">
        <f>탐구계산sheet!E27*S19</f>
        <v>66.046657243816256</v>
      </c>
      <c r="G19" s="88">
        <f>탐구계산sheet!F27*T19</f>
        <v>63.242402826855127</v>
      </c>
      <c r="H19" s="89">
        <f t="shared" si="3"/>
        <v>129.28906007067138</v>
      </c>
      <c r="I19" s="93">
        <f t="shared" si="6"/>
        <v>656.51131458512555</v>
      </c>
      <c r="J19" s="91">
        <v>702.12099999999998</v>
      </c>
      <c r="K19" s="182" t="str">
        <f ca="1">청솔누적!H15</f>
        <v>2.8%~3%</v>
      </c>
      <c r="L19" s="167" t="str">
        <f ca="1">칼레누적!H16</f>
        <v>3.18%~3.24%</v>
      </c>
      <c r="O19" s="84" t="s">
        <v>171</v>
      </c>
      <c r="P19" s="89">
        <f>0.7*100/C3</f>
        <v>0.53030303030303028</v>
      </c>
      <c r="Q19" s="89">
        <f>0.7*400/D3</f>
        <v>2.0289855072463769</v>
      </c>
      <c r="R19" s="89">
        <f>0.7*300/E3</f>
        <v>1.5441176470588236</v>
      </c>
      <c r="S19" s="89">
        <f>0.7*200/('대학별 변환표준점수'!J3*2)</f>
        <v>0.98939929328621912</v>
      </c>
      <c r="T19" s="89">
        <f>0.7*200/('대학별 변환표준점수'!J3*2)</f>
        <v>0.98939929328621912</v>
      </c>
    </row>
    <row r="20" spans="1:20">
      <c r="A20" s="36"/>
      <c r="B20" s="84" t="s">
        <v>172</v>
      </c>
      <c r="C20" s="88">
        <f t="shared" si="0"/>
        <v>138.93939393939394</v>
      </c>
      <c r="D20" s="88">
        <f t="shared" si="1"/>
        <v>200.86956521739131</v>
      </c>
      <c r="E20" s="88">
        <f t="shared" si="2"/>
        <v>126.61764705882352</v>
      </c>
      <c r="F20" s="88">
        <f>탐구계산sheet!E28*S20</f>
        <v>97.73158121499354</v>
      </c>
      <c r="G20" s="88">
        <f>탐구계산sheet!F28*T20</f>
        <v>96.449806118052564</v>
      </c>
      <c r="H20" s="89">
        <f t="shared" si="3"/>
        <v>194.1813873330461</v>
      </c>
      <c r="I20" s="93">
        <f t="shared" si="6"/>
        <v>660.60799354865492</v>
      </c>
      <c r="J20" s="91">
        <v>700</v>
      </c>
      <c r="K20" s="182" t="str">
        <f ca="1">청솔누적!H17</f>
        <v>2.5%~2.6%</v>
      </c>
      <c r="L20" s="201" t="str">
        <f ca="1">칼레누적!H17</f>
        <v>2.75%~2.81%</v>
      </c>
      <c r="O20" s="84" t="s">
        <v>172</v>
      </c>
      <c r="P20" s="89">
        <f>0.7*200/C3</f>
        <v>1.0606060606060606</v>
      </c>
      <c r="Q20" s="89">
        <f>0.7*300/D3</f>
        <v>1.5217391304347827</v>
      </c>
      <c r="R20" s="89">
        <f>0.7*200/E3</f>
        <v>1.0294117647058822</v>
      </c>
      <c r="S20" s="89">
        <f>0.7*300/('대학별 변환표준점수'!L3*2)</f>
        <v>1.5079707022834985</v>
      </c>
      <c r="T20" s="89">
        <f>0.7*300/('대학별 변환표준점수'!L3*2)</f>
        <v>1.5079707022834985</v>
      </c>
    </row>
    <row r="21" spans="1:20">
      <c r="A21" s="36"/>
      <c r="B21" s="84" t="s">
        <v>173</v>
      </c>
      <c r="C21" s="88">
        <f t="shared" si="0"/>
        <v>91.7</v>
      </c>
      <c r="D21" s="88">
        <f t="shared" si="1"/>
        <v>161.69999999999999</v>
      </c>
      <c r="E21" s="88">
        <f t="shared" si="2"/>
        <v>86.100000000000009</v>
      </c>
      <c r="F21" s="88">
        <f>탐구계산sheet!E29*S21</f>
        <v>56.708750000000002</v>
      </c>
      <c r="G21" s="88">
        <f>탐구계산sheet!F29*T21</f>
        <v>55.921250000000001</v>
      </c>
      <c r="H21" s="89">
        <f t="shared" si="3"/>
        <v>112.63</v>
      </c>
      <c r="I21" s="93">
        <f t="shared" si="6"/>
        <v>452.13</v>
      </c>
      <c r="J21" s="91">
        <v>478.50249999999994</v>
      </c>
      <c r="K21" s="182" t="str">
        <f ca="1">청솔누적!H18</f>
        <v>2.4%~2.5%</v>
      </c>
      <c r="L21" s="168" t="s">
        <v>324</v>
      </c>
      <c r="O21" s="84" t="s">
        <v>173</v>
      </c>
      <c r="P21" s="89">
        <f>3.5*0.2</f>
        <v>0.70000000000000007</v>
      </c>
      <c r="Q21" s="89">
        <f>3.5*0.35</f>
        <v>1.2249999999999999</v>
      </c>
      <c r="R21" s="89">
        <f>3.5*0.2</f>
        <v>0.70000000000000007</v>
      </c>
      <c r="S21" s="89">
        <f>3.5*0.25</f>
        <v>0.875</v>
      </c>
      <c r="T21" s="89">
        <f>3.5*0.25</f>
        <v>0.875</v>
      </c>
    </row>
    <row r="22" spans="1:20">
      <c r="A22" s="36"/>
      <c r="B22" s="84" t="s">
        <v>165</v>
      </c>
      <c r="C22" s="88">
        <f t="shared" si="0"/>
        <v>0</v>
      </c>
      <c r="D22" s="88">
        <f t="shared" si="1"/>
        <v>468.695652173913</v>
      </c>
      <c r="E22" s="88">
        <f t="shared" si="2"/>
        <v>0</v>
      </c>
      <c r="F22" s="88">
        <f>탐구계산sheet!E30*S22</f>
        <v>97.75</v>
      </c>
      <c r="G22" s="88">
        <f>탐구계산sheet!F30*T22</f>
        <v>96.39</v>
      </c>
      <c r="H22" s="89">
        <f t="shared" si="3"/>
        <v>194.14</v>
      </c>
      <c r="I22" s="93">
        <f t="shared" si="6"/>
        <v>662.83565217391299</v>
      </c>
      <c r="J22" s="91">
        <v>700</v>
      </c>
      <c r="K22" s="182" t="s">
        <v>460</v>
      </c>
      <c r="L22" s="168" t="s">
        <v>392</v>
      </c>
      <c r="O22" s="84" t="s">
        <v>165</v>
      </c>
      <c r="P22" s="89">
        <v>0</v>
      </c>
      <c r="Q22" s="89">
        <f>490/D3</f>
        <v>3.5507246376811592</v>
      </c>
      <c r="R22" s="89">
        <v>0</v>
      </c>
      <c r="S22" s="89">
        <f>210/(2*'대학별 변환표준점수'!P3)</f>
        <v>1</v>
      </c>
      <c r="T22" s="89">
        <f>S22</f>
        <v>1</v>
      </c>
    </row>
    <row r="23" spans="1:20">
      <c r="A23" s="36"/>
      <c r="B23" s="84" t="s">
        <v>174</v>
      </c>
      <c r="C23" s="88">
        <f t="shared" si="0"/>
        <v>0</v>
      </c>
      <c r="D23" s="88">
        <f t="shared" si="1"/>
        <v>267.82608695652175</v>
      </c>
      <c r="E23" s="88">
        <f t="shared" si="2"/>
        <v>189.9264705882353</v>
      </c>
      <c r="F23" s="88">
        <f>탐구계산sheet!E30*S23</f>
        <v>97.75</v>
      </c>
      <c r="G23" s="88">
        <f>탐구계산sheet!F30*T23</f>
        <v>96.39</v>
      </c>
      <c r="H23" s="89">
        <f t="shared" si="3"/>
        <v>194.14</v>
      </c>
      <c r="I23" s="93">
        <f t="shared" si="6"/>
        <v>651.8925575447571</v>
      </c>
      <c r="J23" s="91">
        <v>700</v>
      </c>
      <c r="K23" s="182" t="s">
        <v>460</v>
      </c>
      <c r="L23" s="168" t="s">
        <v>324</v>
      </c>
      <c r="O23" s="84" t="s">
        <v>174</v>
      </c>
      <c r="P23" s="89">
        <v>0</v>
      </c>
      <c r="Q23" s="89">
        <f>280/D3</f>
        <v>2.0289855072463769</v>
      </c>
      <c r="R23" s="89">
        <f>210/E3</f>
        <v>1.5441176470588236</v>
      </c>
      <c r="S23" s="89">
        <f>S22</f>
        <v>1</v>
      </c>
      <c r="T23" s="89">
        <f>T22</f>
        <v>1</v>
      </c>
    </row>
    <row r="24" spans="1:20">
      <c r="A24" s="36"/>
      <c r="B24" s="84" t="s">
        <v>23</v>
      </c>
      <c r="C24" s="88">
        <f t="shared" si="0"/>
        <v>138.93939393939394</v>
      </c>
      <c r="D24" s="88">
        <f t="shared" si="1"/>
        <v>200.86956521739131</v>
      </c>
      <c r="E24" s="88">
        <f t="shared" si="2"/>
        <v>126.61764705882352</v>
      </c>
      <c r="F24" s="88">
        <f>탐구계산sheet!E30*S24</f>
        <v>97.75</v>
      </c>
      <c r="G24" s="88">
        <f>탐구계산sheet!F30*T24</f>
        <v>96.39</v>
      </c>
      <c r="H24" s="89">
        <f t="shared" si="3"/>
        <v>194.14</v>
      </c>
      <c r="I24" s="93">
        <f t="shared" si="6"/>
        <v>660.56660621560877</v>
      </c>
      <c r="J24" s="91">
        <v>700</v>
      </c>
      <c r="K24" s="182" t="str">
        <f ca="1">청솔누적!H19</f>
        <v>2.4%~2.5%</v>
      </c>
      <c r="L24" s="168" t="s">
        <v>324</v>
      </c>
      <c r="O24" s="84" t="s">
        <v>23</v>
      </c>
      <c r="P24" s="89">
        <f>140/C3</f>
        <v>1.0606060606060606</v>
      </c>
      <c r="Q24" s="89">
        <f>210/D3</f>
        <v>1.5217391304347827</v>
      </c>
      <c r="R24" s="89">
        <f>140/E3</f>
        <v>1.0294117647058822</v>
      </c>
      <c r="S24" s="89">
        <f>S22</f>
        <v>1</v>
      </c>
      <c r="T24" s="89">
        <f>T22</f>
        <v>1</v>
      </c>
    </row>
    <row r="25" spans="1:20">
      <c r="A25" s="36"/>
      <c r="B25" s="84" t="s">
        <v>175</v>
      </c>
      <c r="C25" s="88">
        <f>C4*P25</f>
        <v>131</v>
      </c>
      <c r="D25" s="88">
        <f>D4*Q25</f>
        <v>198</v>
      </c>
      <c r="E25" s="88">
        <f>E4*R25</f>
        <v>123</v>
      </c>
      <c r="F25" s="88">
        <f>탐구계산sheet!E32*S25</f>
        <v>100.5</v>
      </c>
      <c r="G25" s="88">
        <f>탐구계산sheet!F32*T25</f>
        <v>89.1</v>
      </c>
      <c r="H25" s="89">
        <f t="shared" si="3"/>
        <v>189.6</v>
      </c>
      <c r="I25" s="93">
        <f t="shared" si="6"/>
        <v>641.6</v>
      </c>
      <c r="J25" s="91">
        <v>685</v>
      </c>
      <c r="K25" s="182" t="s">
        <v>460</v>
      </c>
      <c r="L25" s="168" t="s">
        <v>393</v>
      </c>
      <c r="O25" s="84" t="s">
        <v>175</v>
      </c>
      <c r="P25" s="89">
        <v>1</v>
      </c>
      <c r="Q25" s="89">
        <v>1.5</v>
      </c>
      <c r="R25" s="89">
        <v>1</v>
      </c>
      <c r="S25" s="89">
        <v>1.5</v>
      </c>
      <c r="T25" s="89">
        <v>1.5</v>
      </c>
    </row>
    <row r="26" spans="1:20">
      <c r="A26" s="36"/>
      <c r="B26" s="84" t="s">
        <v>176</v>
      </c>
      <c r="C26" s="88">
        <f>C6*P26</f>
        <v>143.59311629946288</v>
      </c>
      <c r="D26" s="88">
        <f>D6*Q26</f>
        <v>144.68924695823742</v>
      </c>
      <c r="E26" s="88">
        <f>E6*R26</f>
        <v>134.82407102926669</v>
      </c>
      <c r="F26" s="88">
        <f>탐구계산sheet!E31*S26</f>
        <v>71.04022799517702</v>
      </c>
      <c r="G26" s="88">
        <f>탐구계산sheet!F31*T26</f>
        <v>70.130439548394165</v>
      </c>
      <c r="H26" s="89">
        <f t="shared" si="3"/>
        <v>141.1706675435712</v>
      </c>
      <c r="I26" s="93">
        <f t="shared" si="6"/>
        <v>564.27710183053819</v>
      </c>
      <c r="J26" s="91">
        <v>600.00000000000011</v>
      </c>
      <c r="K26" s="182" t="str">
        <f ca="1">청솔누적!H16</f>
        <v>2.4%~2.5%</v>
      </c>
      <c r="L26" s="168" t="s">
        <v>324</v>
      </c>
      <c r="O26" s="84" t="s">
        <v>176</v>
      </c>
      <c r="P26" s="89">
        <f>600/(SUM($C$3+$D$3+$E$3+('대학별 변환표준점수'!R3*2)))</f>
        <v>1.0961306587745259</v>
      </c>
      <c r="Q26" s="89">
        <f>P26</f>
        <v>1.0961306587745259</v>
      </c>
      <c r="R26" s="89">
        <f>Q26</f>
        <v>1.0961306587745259</v>
      </c>
      <c r="S26" s="89">
        <f>R26</f>
        <v>1.0961306587745259</v>
      </c>
      <c r="T26" s="89">
        <f>S26</f>
        <v>1.0961306587745259</v>
      </c>
    </row>
    <row r="27" spans="1:20">
      <c r="A27" s="36"/>
      <c r="B27" s="84" t="s">
        <v>70</v>
      </c>
      <c r="C27" s="88">
        <f>P27*C4</f>
        <v>131</v>
      </c>
      <c r="D27" s="88">
        <f>Q27*D4</f>
        <v>198</v>
      </c>
      <c r="E27" s="88">
        <f>R27*E4</f>
        <v>123</v>
      </c>
      <c r="F27" s="88">
        <f>S27*F4</f>
        <v>99</v>
      </c>
      <c r="G27" s="88">
        <f>T27*G4</f>
        <v>100.5</v>
      </c>
      <c r="H27" s="89">
        <f t="shared" si="3"/>
        <v>199.5</v>
      </c>
      <c r="I27" s="93">
        <f t="shared" si="6"/>
        <v>651.5</v>
      </c>
      <c r="J27" s="91">
        <v>692.5</v>
      </c>
      <c r="K27" s="182" t="s">
        <v>460</v>
      </c>
      <c r="L27" s="168" t="s">
        <v>324</v>
      </c>
      <c r="O27" s="84" t="s">
        <v>70</v>
      </c>
      <c r="P27" s="89">
        <v>1</v>
      </c>
      <c r="Q27" s="89">
        <v>1.5</v>
      </c>
      <c r="R27" s="89">
        <v>1</v>
      </c>
      <c r="S27" s="89">
        <v>1.5</v>
      </c>
      <c r="T27" s="89">
        <v>1.5</v>
      </c>
    </row>
    <row r="28" spans="1:20">
      <c r="A28" s="36"/>
      <c r="B28" s="84" t="s">
        <v>73</v>
      </c>
      <c r="C28" s="88">
        <f>C4*P28</f>
        <v>76.569500000000005</v>
      </c>
      <c r="D28" s="88">
        <f>D4*Q28</f>
        <v>153.84600000000003</v>
      </c>
      <c r="E28" s="88">
        <f>E4*R28</f>
        <v>71.893500000000003</v>
      </c>
      <c r="F28" s="88">
        <f>F4*S28</f>
        <v>76.923000000000016</v>
      </c>
      <c r="G28" s="88">
        <f>G4*T28</f>
        <v>78.08850000000001</v>
      </c>
      <c r="H28" s="89">
        <f t="shared" si="3"/>
        <v>155.01150000000001</v>
      </c>
      <c r="I28" s="93">
        <f t="shared" si="6"/>
        <v>457.32050000000004</v>
      </c>
      <c r="J28" s="91">
        <v>486.483</v>
      </c>
      <c r="K28" s="182" t="s">
        <v>460</v>
      </c>
      <c r="L28" s="168" t="s">
        <v>324</v>
      </c>
      <c r="O28" s="84" t="s">
        <v>73</v>
      </c>
      <c r="P28" s="89">
        <v>0.58450000000000002</v>
      </c>
      <c r="Q28" s="89">
        <v>1.1655000000000002</v>
      </c>
      <c r="R28" s="89">
        <v>0.58450000000000002</v>
      </c>
      <c r="S28" s="89">
        <v>1.1655000000000002</v>
      </c>
      <c r="T28" s="89">
        <v>1.1655000000000002</v>
      </c>
    </row>
    <row r="29" spans="1:20" ht="27">
      <c r="A29" s="36"/>
      <c r="B29" s="87" t="s">
        <v>181</v>
      </c>
      <c r="C29" s="88">
        <f>IF(C4&gt;=E4,C4,0)*P29</f>
        <v>17.466666666666665</v>
      </c>
      <c r="D29" s="88">
        <f>D4*Q29</f>
        <v>17.600000000000001</v>
      </c>
      <c r="E29" s="88">
        <f>IF(E4&gt;C4,E4,0)*R29</f>
        <v>0</v>
      </c>
      <c r="F29" s="88">
        <f>F4*S29</f>
        <v>8.8000000000000007</v>
      </c>
      <c r="G29" s="88">
        <f>G4*T29</f>
        <v>8.9333333333333336</v>
      </c>
      <c r="H29" s="89">
        <f t="shared" si="3"/>
        <v>17.733333333333334</v>
      </c>
      <c r="I29" s="93">
        <f t="shared" si="6"/>
        <v>52.8</v>
      </c>
      <c r="J29" s="91">
        <v>419</v>
      </c>
      <c r="K29" s="182" t="s">
        <v>460</v>
      </c>
      <c r="L29" s="168" t="s">
        <v>324</v>
      </c>
      <c r="O29" s="87" t="s">
        <v>181</v>
      </c>
      <c r="P29" s="89">
        <f>2/15</f>
        <v>0.13333333333333333</v>
      </c>
      <c r="Q29" s="89">
        <f t="shared" ref="Q29:T30" si="7">2/15</f>
        <v>0.13333333333333333</v>
      </c>
      <c r="R29" s="89">
        <f t="shared" si="7"/>
        <v>0.13333333333333333</v>
      </c>
      <c r="S29" s="89">
        <f t="shared" si="7"/>
        <v>0.13333333333333333</v>
      </c>
      <c r="T29" s="89">
        <f t="shared" si="7"/>
        <v>0.13333333333333333</v>
      </c>
    </row>
    <row r="30" spans="1:20" ht="27">
      <c r="A30" s="36"/>
      <c r="B30" s="87" t="s">
        <v>182</v>
      </c>
      <c r="C30" s="88">
        <f>IF(MIN($C$4,$D$4,$E$4,$F$4+$G$4)=C4,0,C4)*P30</f>
        <v>17.466666666666665</v>
      </c>
      <c r="D30" s="88">
        <f>IF(MIN($C$4,$D$4,$E$4,$F$4+$G$4)=D4,0,D4)*Q30</f>
        <v>17.600000000000001</v>
      </c>
      <c r="E30" s="88">
        <f>IF(MIN($C$4,$D$4,$E$4,$F$4+$G$4)=E4,0,E4)*R30</f>
        <v>0</v>
      </c>
      <c r="F30" s="88">
        <f>IF(MIN($C$4,$D$4,$E$4,$F$4+$G$4)=$F$4+$G$4,0,F4)*S30</f>
        <v>8.8000000000000007</v>
      </c>
      <c r="G30" s="88">
        <f>IF(MIN($C$4,$D$4,$E$4,$F$4+$G$4)=$F$4+$G$4,0,G4)*T30</f>
        <v>8.9333333333333336</v>
      </c>
      <c r="H30" s="89">
        <f t="shared" si="3"/>
        <v>17.733333333333334</v>
      </c>
      <c r="I30" s="93">
        <f t="shared" si="6"/>
        <v>52.8</v>
      </c>
      <c r="J30" s="91">
        <v>419</v>
      </c>
      <c r="K30" s="182" t="s">
        <v>460</v>
      </c>
      <c r="L30" s="168" t="s">
        <v>324</v>
      </c>
      <c r="O30" s="87" t="s">
        <v>182</v>
      </c>
      <c r="P30" s="89">
        <f>2/15</f>
        <v>0.13333333333333333</v>
      </c>
      <c r="Q30" s="89">
        <f t="shared" si="7"/>
        <v>0.13333333333333333</v>
      </c>
      <c r="R30" s="89">
        <f t="shared" si="7"/>
        <v>0.13333333333333333</v>
      </c>
      <c r="S30" s="89">
        <f t="shared" si="7"/>
        <v>0.13333333333333333</v>
      </c>
      <c r="T30" s="89">
        <f t="shared" si="7"/>
        <v>0.13333333333333333</v>
      </c>
    </row>
    <row r="31" spans="1:20">
      <c r="A31" s="36"/>
      <c r="B31" s="84" t="s">
        <v>177</v>
      </c>
      <c r="C31" s="88">
        <f>P31*C4</f>
        <v>0</v>
      </c>
      <c r="D31" s="88">
        <f>Q31*D4</f>
        <v>33</v>
      </c>
      <c r="E31" s="88">
        <f>R31*E4</f>
        <v>0</v>
      </c>
      <c r="F31" s="88">
        <f>S31*F4</f>
        <v>16.5</v>
      </c>
      <c r="G31" s="88">
        <f>T31*G4</f>
        <v>16.75</v>
      </c>
      <c r="H31" s="89">
        <f t="shared" si="3"/>
        <v>33.25</v>
      </c>
      <c r="I31" s="93">
        <f t="shared" si="6"/>
        <v>66.25</v>
      </c>
      <c r="J31" s="91">
        <v>283</v>
      </c>
      <c r="K31" s="182" t="s">
        <v>460</v>
      </c>
      <c r="L31" s="168" t="s">
        <v>324</v>
      </c>
      <c r="O31" s="84" t="s">
        <v>177</v>
      </c>
      <c r="P31" s="89">
        <v>0</v>
      </c>
      <c r="Q31" s="89">
        <v>0.25</v>
      </c>
      <c r="R31" s="89">
        <v>0</v>
      </c>
      <c r="S31" s="89">
        <f>Q31</f>
        <v>0.25</v>
      </c>
      <c r="T31" s="89">
        <f>Q31</f>
        <v>0.25</v>
      </c>
    </row>
    <row r="32" spans="1:20">
      <c r="A32" s="36"/>
      <c r="B32" s="84" t="s">
        <v>77</v>
      </c>
      <c r="C32" s="88">
        <f t="shared" ref="C32:E35" si="8">C$4*P32</f>
        <v>131</v>
      </c>
      <c r="D32" s="88">
        <f t="shared" si="8"/>
        <v>198</v>
      </c>
      <c r="E32" s="88">
        <f t="shared" si="8"/>
        <v>184.5</v>
      </c>
      <c r="F32" s="88">
        <f t="shared" ref="F32:G34" si="9">F$5*S32</f>
        <v>46</v>
      </c>
      <c r="G32" s="88">
        <f t="shared" si="9"/>
        <v>47</v>
      </c>
      <c r="H32" s="89">
        <f t="shared" si="3"/>
        <v>93</v>
      </c>
      <c r="I32" s="93">
        <f t="shared" si="6"/>
        <v>606.5</v>
      </c>
      <c r="J32" s="91">
        <v>643</v>
      </c>
      <c r="K32" s="182" t="s">
        <v>460</v>
      </c>
      <c r="L32" s="168" t="s">
        <v>324</v>
      </c>
      <c r="O32" s="84" t="s">
        <v>77</v>
      </c>
      <c r="P32" s="89">
        <v>1</v>
      </c>
      <c r="Q32" s="89">
        <v>1.5</v>
      </c>
      <c r="R32" s="89">
        <v>1.5</v>
      </c>
      <c r="S32" s="89">
        <v>0.5</v>
      </c>
      <c r="T32" s="89">
        <v>0.5</v>
      </c>
    </row>
    <row r="33" spans="1:20" ht="27">
      <c r="A33" s="36"/>
      <c r="B33" s="87" t="s">
        <v>178</v>
      </c>
      <c r="C33" s="88">
        <f t="shared" si="8"/>
        <v>0</v>
      </c>
      <c r="D33" s="88">
        <f t="shared" si="8"/>
        <v>330</v>
      </c>
      <c r="E33" s="88">
        <f t="shared" si="8"/>
        <v>0</v>
      </c>
      <c r="F33" s="88">
        <f t="shared" si="9"/>
        <v>115</v>
      </c>
      <c r="G33" s="88">
        <f t="shared" si="9"/>
        <v>117.5</v>
      </c>
      <c r="H33" s="89">
        <f t="shared" si="3"/>
        <v>232.5</v>
      </c>
      <c r="I33" s="93">
        <f t="shared" si="6"/>
        <v>562.5</v>
      </c>
      <c r="J33" s="91">
        <v>595</v>
      </c>
      <c r="K33" s="182" t="s">
        <v>460</v>
      </c>
      <c r="L33" s="168" t="s">
        <v>324</v>
      </c>
      <c r="O33" s="87" t="s">
        <v>178</v>
      </c>
      <c r="P33" s="89">
        <v>0</v>
      </c>
      <c r="Q33" s="89">
        <v>2.5</v>
      </c>
      <c r="R33" s="89">
        <v>0</v>
      </c>
      <c r="S33" s="89">
        <v>1.25</v>
      </c>
      <c r="T33" s="89">
        <v>1.25</v>
      </c>
    </row>
    <row r="34" spans="1:20">
      <c r="A34" s="36"/>
      <c r="B34" s="84" t="s">
        <v>79</v>
      </c>
      <c r="C34" s="88">
        <f t="shared" si="8"/>
        <v>98.25</v>
      </c>
      <c r="D34" s="88">
        <f t="shared" si="8"/>
        <v>231</v>
      </c>
      <c r="E34" s="88">
        <f t="shared" si="8"/>
        <v>215.25</v>
      </c>
      <c r="F34" s="88">
        <f t="shared" si="9"/>
        <v>34.5</v>
      </c>
      <c r="G34" s="88">
        <f t="shared" si="9"/>
        <v>35.25</v>
      </c>
      <c r="H34" s="89">
        <f t="shared" si="3"/>
        <v>69.75</v>
      </c>
      <c r="I34" s="93">
        <f t="shared" si="6"/>
        <v>614.25</v>
      </c>
      <c r="J34" s="91">
        <v>653.5</v>
      </c>
      <c r="K34" s="182" t="s">
        <v>460</v>
      </c>
      <c r="L34" s="168" t="s">
        <v>324</v>
      </c>
      <c r="O34" s="84" t="s">
        <v>79</v>
      </c>
      <c r="P34" s="89">
        <v>0.75</v>
      </c>
      <c r="Q34" s="89">
        <v>1.75</v>
      </c>
      <c r="R34" s="89">
        <v>1.75</v>
      </c>
      <c r="S34" s="89">
        <v>0.375</v>
      </c>
      <c r="T34" s="89">
        <v>0.375</v>
      </c>
    </row>
    <row r="35" spans="1:20" s="25" customFormat="1">
      <c r="A35" s="36"/>
      <c r="B35" s="84" t="s">
        <v>325</v>
      </c>
      <c r="C35" s="88">
        <f t="shared" si="8"/>
        <v>91.7</v>
      </c>
      <c r="D35" s="88">
        <f t="shared" si="8"/>
        <v>138.6</v>
      </c>
      <c r="E35" s="88">
        <f t="shared" si="8"/>
        <v>107.625</v>
      </c>
      <c r="F35" s="88">
        <f>탐구계산sheet!E$43*계산!S35</f>
        <v>28.354375000000001</v>
      </c>
      <c r="G35" s="88">
        <f>탐구계산sheet!F$43*계산!T35</f>
        <v>27.965</v>
      </c>
      <c r="H35" s="89">
        <f>F35+G35+100*0.25*3.5</f>
        <v>143.81937500000001</v>
      </c>
      <c r="I35" s="93">
        <f>C35+D35+E35+H35</f>
        <v>481.74437499999999</v>
      </c>
      <c r="J35" s="91">
        <v>504.726</v>
      </c>
      <c r="K35" s="183">
        <f>청솔누적!F22</f>
        <v>2.6000000000000002E-2</v>
      </c>
      <c r="L35" s="168" t="s">
        <v>324</v>
      </c>
      <c r="O35" s="84" t="s">
        <v>325</v>
      </c>
      <c r="P35" s="104">
        <f>3.5*0.2</f>
        <v>0.70000000000000007</v>
      </c>
      <c r="Q35" s="104">
        <f>3.5*0.3</f>
        <v>1.05</v>
      </c>
      <c r="R35" s="104">
        <f>3.5*0.25</f>
        <v>0.875</v>
      </c>
      <c r="S35" s="104">
        <f>3.5*0.5*0.25</f>
        <v>0.4375</v>
      </c>
      <c r="T35" s="104">
        <f>3.5*0.5*0.25</f>
        <v>0.4375</v>
      </c>
    </row>
    <row r="36" spans="1:20" s="25" customFormat="1">
      <c r="A36" s="36"/>
      <c r="B36" s="84" t="s">
        <v>326</v>
      </c>
      <c r="C36" s="88">
        <f>C$4*P36</f>
        <v>91.7</v>
      </c>
      <c r="D36" s="88">
        <f t="shared" ref="D36:D37" si="10">D$4*Q36</f>
        <v>184.8</v>
      </c>
      <c r="E36" s="88">
        <f t="shared" ref="E36:E37" si="11">E$4*R36</f>
        <v>129.15</v>
      </c>
      <c r="F36" s="88">
        <f>탐구계산sheet!E$43*계산!S36</f>
        <v>11.341750000000001</v>
      </c>
      <c r="G36" s="88">
        <f>탐구계산sheet!F$43*계산!T36</f>
        <v>11.186000000000002</v>
      </c>
      <c r="H36" s="89">
        <f>F36+G36+100*0.1*3.5</f>
        <v>57.527750000000005</v>
      </c>
      <c r="I36" s="93">
        <f>C36+D36+E36+H36</f>
        <v>463.17775</v>
      </c>
      <c r="J36" s="91">
        <v>487.77100000000002</v>
      </c>
      <c r="K36" s="182" t="s">
        <v>460</v>
      </c>
      <c r="L36" s="168" t="s">
        <v>324</v>
      </c>
      <c r="O36" s="84" t="s">
        <v>326</v>
      </c>
      <c r="P36" s="104">
        <f>3.5*0.2</f>
        <v>0.70000000000000007</v>
      </c>
      <c r="Q36" s="104">
        <f>3.5*0.4</f>
        <v>1.4000000000000001</v>
      </c>
      <c r="R36" s="104">
        <f>3.5*0.3</f>
        <v>1.05</v>
      </c>
      <c r="S36" s="104">
        <f>3.5*0.5*0.1</f>
        <v>0.17500000000000002</v>
      </c>
      <c r="T36" s="104">
        <f>3.5*0.5*0.1</f>
        <v>0.17500000000000002</v>
      </c>
    </row>
    <row r="37" spans="1:20" s="25" customFormat="1">
      <c r="A37" s="36"/>
      <c r="B37" s="84" t="s">
        <v>332</v>
      </c>
      <c r="C37" s="88">
        <f>C$4*P37</f>
        <v>91.7</v>
      </c>
      <c r="D37" s="88">
        <f t="shared" si="10"/>
        <v>138.6</v>
      </c>
      <c r="E37" s="88">
        <f t="shared" si="11"/>
        <v>129.15</v>
      </c>
      <c r="F37" s="88">
        <f>탐구계산sheet!E44*계산!S37</f>
        <v>45.367000000000004</v>
      </c>
      <c r="G37" s="88">
        <f>탐구계산sheet!F44*계산!T37</f>
        <v>44.737000000000002</v>
      </c>
      <c r="H37" s="89">
        <f>F37+G37+100*0.1*3.5</f>
        <v>125.10400000000001</v>
      </c>
      <c r="I37" s="93">
        <f>SUM(C37:G37)</f>
        <v>449.55400000000009</v>
      </c>
      <c r="J37" s="91"/>
      <c r="K37" s="183">
        <f>청솔누적!F20</f>
        <v>2.7999999999999997E-2</v>
      </c>
      <c r="L37" s="168" t="s">
        <v>324</v>
      </c>
      <c r="O37" s="84" t="s">
        <v>332</v>
      </c>
      <c r="P37" s="104">
        <f>3.5*0.2</f>
        <v>0.70000000000000007</v>
      </c>
      <c r="Q37" s="104">
        <f>3.5*0.3</f>
        <v>1.05</v>
      </c>
      <c r="R37" s="104">
        <f>3.5*0.3</f>
        <v>1.05</v>
      </c>
      <c r="S37" s="104">
        <f>3.5*0.2</f>
        <v>0.70000000000000007</v>
      </c>
      <c r="T37" s="104">
        <f>S37</f>
        <v>0.70000000000000007</v>
      </c>
    </row>
    <row r="38" spans="1:20" s="25" customFormat="1">
      <c r="A38" s="36"/>
      <c r="B38" s="84" t="s">
        <v>333</v>
      </c>
      <c r="C38" s="88">
        <f>C$4*P38</f>
        <v>91.7</v>
      </c>
      <c r="D38" s="88">
        <f t="shared" ref="D38" si="12">D$4*Q38</f>
        <v>138.6</v>
      </c>
      <c r="E38" s="88">
        <f t="shared" ref="E38" si="13">E$4*R38</f>
        <v>129.15</v>
      </c>
      <c r="F38" s="88">
        <f>탐구계산sheet!E45*계산!S38</f>
        <v>45.367000000000004</v>
      </c>
      <c r="G38" s="88">
        <f>탐구계산sheet!F45*계산!T38</f>
        <v>44.744000000000007</v>
      </c>
      <c r="H38" s="89">
        <f>F38+G38+100*0.1*3.5</f>
        <v>125.11100000000002</v>
      </c>
      <c r="I38" s="93">
        <f>SUM(C38:G38)</f>
        <v>449.56100000000009</v>
      </c>
      <c r="J38" s="91"/>
      <c r="K38" s="183">
        <f>청솔누적!F21</f>
        <v>2.7999999999999997E-2</v>
      </c>
      <c r="L38" s="168" t="s">
        <v>324</v>
      </c>
      <c r="O38" s="84" t="s">
        <v>333</v>
      </c>
      <c r="P38" s="104">
        <f>3.5*0.2</f>
        <v>0.70000000000000007</v>
      </c>
      <c r="Q38" s="104">
        <f>3.5*0.3</f>
        <v>1.05</v>
      </c>
      <c r="R38" s="104">
        <f>3.5*0.3</f>
        <v>1.05</v>
      </c>
      <c r="S38" s="104">
        <f>3.5*0.2</f>
        <v>0.70000000000000007</v>
      </c>
      <c r="T38" s="104">
        <f>S38</f>
        <v>0.70000000000000007</v>
      </c>
    </row>
    <row r="39" spans="1:20" s="25" customFormat="1">
      <c r="A39" s="36"/>
      <c r="B39" s="84" t="s">
        <v>286</v>
      </c>
      <c r="C39" s="88"/>
      <c r="D39" s="88"/>
      <c r="E39" s="88"/>
      <c r="F39" s="88"/>
      <c r="G39" s="88"/>
      <c r="H39" s="89"/>
      <c r="I39" s="93">
        <f>80*I34/J34</f>
        <v>75.195103289977041</v>
      </c>
      <c r="J39" s="91"/>
      <c r="K39" s="182" t="s">
        <v>460</v>
      </c>
      <c r="L39" s="168" t="s">
        <v>324</v>
      </c>
      <c r="O39" s="98" t="s">
        <v>286</v>
      </c>
      <c r="P39" s="104"/>
      <c r="Q39" s="104"/>
      <c r="R39" s="104"/>
      <c r="S39" s="104"/>
      <c r="T39" s="104"/>
    </row>
    <row r="40" spans="1:20">
      <c r="A40" s="36"/>
      <c r="B40" s="84" t="s">
        <v>206</v>
      </c>
      <c r="C40" s="88">
        <f t="shared" ref="C40:E42" si="14">C$4*P40</f>
        <v>138.93939393939394</v>
      </c>
      <c r="D40" s="88">
        <f t="shared" si="14"/>
        <v>200.86956521739131</v>
      </c>
      <c r="E40" s="88">
        <f t="shared" si="14"/>
        <v>126.61764705882352</v>
      </c>
      <c r="F40" s="88">
        <f>탐구계산sheet!E33*S40</f>
        <v>97.74561907497845</v>
      </c>
      <c r="G40" s="88">
        <f>탐구계산sheet!F33*T40</f>
        <v>96.388250502729093</v>
      </c>
      <c r="H40" s="89">
        <f t="shared" ref="H40:H59" si="15">SUM(F40:G40)</f>
        <v>194.13386957770754</v>
      </c>
      <c r="I40" s="93">
        <f t="shared" ref="I40:I48" si="16">SUM(C40:G40)</f>
        <v>660.5604757933163</v>
      </c>
      <c r="J40" s="91">
        <v>700</v>
      </c>
      <c r="K40" s="182" t="s">
        <v>460</v>
      </c>
      <c r="L40" s="168" t="s">
        <v>324</v>
      </c>
      <c r="O40" s="98" t="s">
        <v>192</v>
      </c>
      <c r="P40" s="104">
        <f>700*0.2/C3</f>
        <v>1.0606060606060606</v>
      </c>
      <c r="Q40" s="104">
        <f>700*0.3/D3</f>
        <v>1.5217391304347827</v>
      </c>
      <c r="R40" s="104">
        <f>700*0.2/E3</f>
        <v>1.0294117647058822</v>
      </c>
      <c r="S40" s="104">
        <f>700*0.3/(2*'대학별 변환표준점수'!T3)</f>
        <v>1.5081873024992818</v>
      </c>
      <c r="T40" s="104">
        <f>S40</f>
        <v>1.5081873024992818</v>
      </c>
    </row>
    <row r="41" spans="1:20">
      <c r="A41" s="36"/>
      <c r="B41" s="84" t="s">
        <v>207</v>
      </c>
      <c r="C41" s="88">
        <f t="shared" si="14"/>
        <v>99.242424242424235</v>
      </c>
      <c r="D41" s="88">
        <f t="shared" si="14"/>
        <v>382.60869565217394</v>
      </c>
      <c r="E41" s="88">
        <f t="shared" si="14"/>
        <v>271.32352941176475</v>
      </c>
      <c r="F41" s="88">
        <f>탐구계산sheet!E34*S41</f>
        <v>92.991526640815735</v>
      </c>
      <c r="G41" s="88">
        <f>탐구계산sheet!F34*T41</f>
        <v>92.460146488582495</v>
      </c>
      <c r="H41" s="89">
        <f t="shared" si="15"/>
        <v>185.45167312939822</v>
      </c>
      <c r="I41" s="93">
        <f t="shared" si="16"/>
        <v>938.62632243576115</v>
      </c>
      <c r="J41" s="91">
        <v>1000</v>
      </c>
      <c r="K41" s="182" t="s">
        <v>460</v>
      </c>
      <c r="L41" s="168" t="s">
        <v>324</v>
      </c>
      <c r="O41" s="84" t="s">
        <v>209</v>
      </c>
      <c r="P41" s="89">
        <f>100/C3</f>
        <v>0.75757575757575757</v>
      </c>
      <c r="Q41" s="89">
        <f>400/D3</f>
        <v>2.8985507246376812</v>
      </c>
      <c r="R41" s="89">
        <f>300/E3</f>
        <v>2.2058823529411766</v>
      </c>
      <c r="S41" s="89">
        <f>100/'대학별 변환표준점수'!V3</f>
        <v>1.4361625736033319</v>
      </c>
      <c r="T41" s="89">
        <f>S41</f>
        <v>1.4361625736033319</v>
      </c>
    </row>
    <row r="42" spans="1:20">
      <c r="A42" s="36"/>
      <c r="B42" s="84" t="s">
        <v>210</v>
      </c>
      <c r="C42" s="88">
        <f t="shared" si="14"/>
        <v>131</v>
      </c>
      <c r="D42" s="88">
        <f t="shared" si="14"/>
        <v>132</v>
      </c>
      <c r="E42" s="88">
        <f t="shared" si="14"/>
        <v>123</v>
      </c>
      <c r="F42" s="88">
        <f>탐구계산sheet!E35*S42</f>
        <v>67</v>
      </c>
      <c r="G42" s="88">
        <f>탐구계산sheet!F35*T42</f>
        <v>66</v>
      </c>
      <c r="H42" s="89">
        <f t="shared" si="15"/>
        <v>133</v>
      </c>
      <c r="I42" s="93">
        <f t="shared" si="16"/>
        <v>519</v>
      </c>
      <c r="J42" s="102">
        <v>547</v>
      </c>
      <c r="K42" s="182" t="s">
        <v>460</v>
      </c>
      <c r="L42" s="168" t="s">
        <v>324</v>
      </c>
      <c r="O42" s="84" t="s">
        <v>224</v>
      </c>
      <c r="P42" s="89">
        <v>1</v>
      </c>
      <c r="Q42" s="89">
        <v>1</v>
      </c>
      <c r="R42" s="89">
        <v>1</v>
      </c>
      <c r="S42" s="89">
        <v>1</v>
      </c>
      <c r="T42" s="89">
        <v>1</v>
      </c>
    </row>
    <row r="43" spans="1:20">
      <c r="A43" s="36"/>
      <c r="B43" s="84" t="s">
        <v>227</v>
      </c>
      <c r="C43" s="88">
        <f>C5*P43</f>
        <v>0</v>
      </c>
      <c r="D43" s="88">
        <f>D5*Q43</f>
        <v>0</v>
      </c>
      <c r="E43" s="88">
        <f>E5*R43</f>
        <v>0</v>
      </c>
      <c r="F43" s="88">
        <f>탐구계산sheet!E36*S43</f>
        <v>51.7</v>
      </c>
      <c r="G43" s="88">
        <f>탐구계산sheet!F36*T43</f>
        <v>50.6</v>
      </c>
      <c r="H43" s="89">
        <f t="shared" si="15"/>
        <v>102.30000000000001</v>
      </c>
      <c r="I43" s="93">
        <f t="shared" si="16"/>
        <v>102.30000000000001</v>
      </c>
      <c r="J43" s="91">
        <v>525</v>
      </c>
      <c r="K43" s="182" t="s">
        <v>460</v>
      </c>
      <c r="L43" s="168" t="s">
        <v>324</v>
      </c>
      <c r="O43" s="84" t="s">
        <v>225</v>
      </c>
      <c r="P43" s="89">
        <v>1</v>
      </c>
      <c r="Q43" s="89">
        <f>1.5*1.1</f>
        <v>1.6500000000000001</v>
      </c>
      <c r="R43" s="89">
        <v>1.5</v>
      </c>
      <c r="S43" s="89">
        <f>0.5*1.1</f>
        <v>0.55000000000000004</v>
      </c>
      <c r="T43" s="89">
        <f>0.5*1.1</f>
        <v>0.55000000000000004</v>
      </c>
    </row>
    <row r="44" spans="1:20">
      <c r="A44" s="36"/>
      <c r="B44" s="84" t="s">
        <v>228</v>
      </c>
      <c r="C44" s="88">
        <f>C4*P44</f>
        <v>133.97727272727272</v>
      </c>
      <c r="D44" s="88">
        <f>D4*Q44</f>
        <v>301.30434782608694</v>
      </c>
      <c r="E44" s="88">
        <f>E4*R44</f>
        <v>284.88970588235298</v>
      </c>
      <c r="F44" s="88">
        <f>탐구계산sheet!E37*S44</f>
        <v>133.245</v>
      </c>
      <c r="G44" s="88">
        <f>G4*T44</f>
        <v>0</v>
      </c>
      <c r="H44" s="89">
        <f t="shared" si="15"/>
        <v>133.245</v>
      </c>
      <c r="I44" s="93">
        <f t="shared" si="16"/>
        <v>853.41632643571268</v>
      </c>
      <c r="J44" s="91">
        <v>900</v>
      </c>
      <c r="K44" s="182" t="s">
        <v>460</v>
      </c>
      <c r="L44" s="168" t="s">
        <v>324</v>
      </c>
      <c r="O44" s="84" t="s">
        <v>226</v>
      </c>
      <c r="P44" s="89">
        <f>0.15*900/C3</f>
        <v>1.0227272727272727</v>
      </c>
      <c r="Q44" s="89">
        <f>0.35*900/D3</f>
        <v>2.2826086956521738</v>
      </c>
      <c r="R44" s="89">
        <f>0.35*900/E3</f>
        <v>2.3161764705882355</v>
      </c>
      <c r="S44" s="89">
        <f>0.15*9</f>
        <v>1.3499999999999999</v>
      </c>
      <c r="T44" s="89">
        <v>0</v>
      </c>
    </row>
    <row r="45" spans="1:20">
      <c r="A45" s="36"/>
      <c r="B45" s="84" t="s">
        <v>229</v>
      </c>
      <c r="C45" s="88">
        <f>C4*P45</f>
        <v>248.10606060606062</v>
      </c>
      <c r="D45" s="88">
        <f>D4*Q45</f>
        <v>263.04347826086956</v>
      </c>
      <c r="E45" s="88">
        <f>E4*R45</f>
        <v>248.71323529411762</v>
      </c>
      <c r="F45" s="88">
        <f>탐구계산sheet!E38</f>
        <v>95.652173913043484</v>
      </c>
      <c r="G45" s="88">
        <f>탐구계산sheet!F38</f>
        <v>93.055555555555557</v>
      </c>
      <c r="H45" s="89">
        <f t="shared" si="15"/>
        <v>188.70772946859904</v>
      </c>
      <c r="I45" s="93">
        <f t="shared" si="16"/>
        <v>948.57050362964685</v>
      </c>
      <c r="J45" s="102">
        <v>1000</v>
      </c>
      <c r="K45" s="182" t="s">
        <v>460</v>
      </c>
      <c r="L45" s="168" t="s">
        <v>324</v>
      </c>
      <c r="O45" s="84" t="s">
        <v>229</v>
      </c>
      <c r="P45" s="89">
        <f>1000*0.25/C3</f>
        <v>1.893939393939394</v>
      </c>
      <c r="Q45" s="89">
        <f>1000*0.275/D3</f>
        <v>1.9927536231884058</v>
      </c>
      <c r="R45" s="89">
        <f>1000*0.275/E3</f>
        <v>2.0220588235294117</v>
      </c>
      <c r="S45" s="89"/>
      <c r="T45" s="89"/>
    </row>
    <row r="46" spans="1:20">
      <c r="A46" s="36"/>
      <c r="B46" s="84" t="s">
        <v>232</v>
      </c>
      <c r="C46" s="88">
        <f>C4*P46</f>
        <v>131</v>
      </c>
      <c r="D46" s="88">
        <f>D4*Q46</f>
        <v>198</v>
      </c>
      <c r="E46" s="88">
        <f>E4*R46</f>
        <v>184.5</v>
      </c>
      <c r="F46" s="88">
        <f>F4*S46</f>
        <v>66</v>
      </c>
      <c r="G46" s="88">
        <f>G4*T46</f>
        <v>67</v>
      </c>
      <c r="H46" s="89">
        <f t="shared" si="15"/>
        <v>133</v>
      </c>
      <c r="I46" s="93">
        <f t="shared" si="16"/>
        <v>646.5</v>
      </c>
      <c r="J46" s="102">
        <v>688</v>
      </c>
      <c r="K46" s="182" t="s">
        <v>460</v>
      </c>
      <c r="L46" s="168" t="s">
        <v>324</v>
      </c>
      <c r="O46" s="84" t="s">
        <v>232</v>
      </c>
      <c r="P46" s="89">
        <v>1</v>
      </c>
      <c r="Q46" s="89">
        <v>1.5</v>
      </c>
      <c r="R46" s="89">
        <v>1.5</v>
      </c>
      <c r="S46" s="89">
        <v>1</v>
      </c>
      <c r="T46" s="89">
        <v>1</v>
      </c>
    </row>
    <row r="47" spans="1:20">
      <c r="A47" s="36"/>
      <c r="B47" s="84" t="s">
        <v>235</v>
      </c>
      <c r="C47" s="88">
        <f t="shared" ref="C47:G48" si="17">C4*P47</f>
        <v>131</v>
      </c>
      <c r="D47" s="88">
        <f t="shared" si="17"/>
        <v>132</v>
      </c>
      <c r="E47" s="88">
        <f t="shared" si="17"/>
        <v>123</v>
      </c>
      <c r="F47" s="88">
        <f t="shared" si="17"/>
        <v>66</v>
      </c>
      <c r="G47" s="88">
        <f t="shared" si="17"/>
        <v>67</v>
      </c>
      <c r="H47" s="89">
        <f t="shared" si="15"/>
        <v>133</v>
      </c>
      <c r="I47" s="93">
        <f t="shared" si="16"/>
        <v>519</v>
      </c>
      <c r="J47" s="102">
        <v>547</v>
      </c>
      <c r="K47" s="182" t="s">
        <v>460</v>
      </c>
      <c r="L47" s="168" t="s">
        <v>324</v>
      </c>
      <c r="O47" s="84" t="s">
        <v>235</v>
      </c>
      <c r="P47" s="89">
        <v>1</v>
      </c>
      <c r="Q47" s="89">
        <v>1</v>
      </c>
      <c r="R47" s="89">
        <v>1</v>
      </c>
      <c r="S47" s="89">
        <v>1</v>
      </c>
      <c r="T47" s="89">
        <v>1</v>
      </c>
    </row>
    <row r="48" spans="1:20">
      <c r="A48" s="36"/>
      <c r="B48" s="84" t="s">
        <v>241</v>
      </c>
      <c r="C48" s="88">
        <f t="shared" si="17"/>
        <v>0</v>
      </c>
      <c r="D48" s="88">
        <f t="shared" si="17"/>
        <v>0</v>
      </c>
      <c r="E48" s="88">
        <f t="shared" si="17"/>
        <v>0</v>
      </c>
      <c r="F48" s="88">
        <f t="shared" si="17"/>
        <v>101.43</v>
      </c>
      <c r="G48" s="88">
        <f t="shared" si="17"/>
        <v>103.63500000000001</v>
      </c>
      <c r="H48" s="89">
        <f t="shared" si="15"/>
        <v>205.065</v>
      </c>
      <c r="I48" s="93">
        <f t="shared" si="16"/>
        <v>205.065</v>
      </c>
      <c r="J48" s="102">
        <v>710.5</v>
      </c>
      <c r="K48" s="182" t="s">
        <v>460</v>
      </c>
      <c r="L48" s="168" t="s">
        <v>324</v>
      </c>
      <c r="O48" s="84" t="s">
        <v>242</v>
      </c>
      <c r="P48" s="89">
        <f>7*0.1</f>
        <v>0.70000000000000007</v>
      </c>
      <c r="Q48" s="89">
        <f>7*0.3</f>
        <v>2.1</v>
      </c>
      <c r="R48" s="89">
        <f>7*0.3</f>
        <v>2.1</v>
      </c>
      <c r="S48" s="89">
        <f>0.3/2*7*1.05</f>
        <v>1.1025</v>
      </c>
      <c r="T48" s="89">
        <f>S48</f>
        <v>1.1025</v>
      </c>
    </row>
    <row r="49" spans="1:20">
      <c r="A49" s="36"/>
      <c r="B49" s="84" t="s">
        <v>249</v>
      </c>
      <c r="C49" s="88">
        <f>C5*P49</f>
        <v>0</v>
      </c>
      <c r="D49" s="88">
        <f>D5*Q49</f>
        <v>0</v>
      </c>
      <c r="E49" s="88">
        <f>E5*R49</f>
        <v>0</v>
      </c>
      <c r="F49" s="88">
        <f>F5*S49</f>
        <v>18.400000000000002</v>
      </c>
      <c r="G49" s="88">
        <f>G5*T49</f>
        <v>18.8</v>
      </c>
      <c r="H49" s="89">
        <f t="shared" si="15"/>
        <v>37.200000000000003</v>
      </c>
      <c r="I49" s="93">
        <f>400+SUM(C49:G49)</f>
        <v>437.2</v>
      </c>
      <c r="J49" s="102">
        <v>600</v>
      </c>
      <c r="K49" s="182" t="s">
        <v>460</v>
      </c>
      <c r="L49" s="168" t="s">
        <v>324</v>
      </c>
      <c r="O49" s="84" t="s">
        <v>249</v>
      </c>
      <c r="P49" s="89">
        <f>2*0.2</f>
        <v>0.4</v>
      </c>
      <c r="Q49" s="89">
        <f>2*0.3</f>
        <v>0.6</v>
      </c>
      <c r="R49" s="89">
        <f>2*0.3</f>
        <v>0.6</v>
      </c>
      <c r="S49" s="89">
        <f>1*0.2</f>
        <v>0.2</v>
      </c>
      <c r="T49" s="89">
        <f>1*0.2</f>
        <v>0.2</v>
      </c>
    </row>
    <row r="50" spans="1:20">
      <c r="A50" s="36"/>
      <c r="B50" s="84" t="s">
        <v>250</v>
      </c>
      <c r="C50" s="88">
        <f>C5*P50</f>
        <v>0</v>
      </c>
      <c r="D50" s="88">
        <f>D5*Q50</f>
        <v>0</v>
      </c>
      <c r="E50" s="88">
        <f>E5*R50</f>
        <v>0</v>
      </c>
      <c r="F50" s="88">
        <f>F5*S50</f>
        <v>51.52</v>
      </c>
      <c r="G50" s="88">
        <f>G5*T50</f>
        <v>52.640000000000008</v>
      </c>
      <c r="H50" s="89">
        <f t="shared" si="15"/>
        <v>104.16000000000001</v>
      </c>
      <c r="I50" s="93">
        <f>SUM(C50:G50)</f>
        <v>104.16000000000001</v>
      </c>
      <c r="J50" s="102">
        <v>800</v>
      </c>
      <c r="K50" s="182" t="s">
        <v>460</v>
      </c>
      <c r="L50" s="168" t="s">
        <v>324</v>
      </c>
      <c r="O50" s="84" t="s">
        <v>253</v>
      </c>
      <c r="P50" s="89">
        <v>1.1200000000000001</v>
      </c>
      <c r="Q50" s="89">
        <v>1.68</v>
      </c>
      <c r="R50" s="89">
        <v>1.68</v>
      </c>
      <c r="S50" s="89">
        <v>0.56000000000000005</v>
      </c>
      <c r="T50" s="89">
        <v>0.56000000000000005</v>
      </c>
    </row>
    <row r="51" spans="1:20">
      <c r="A51" s="36"/>
      <c r="B51" s="84" t="s">
        <v>256</v>
      </c>
      <c r="C51" s="88">
        <f>C5*P51</f>
        <v>0</v>
      </c>
      <c r="D51" s="88">
        <f>D5*Q51</f>
        <v>0</v>
      </c>
      <c r="E51" s="88">
        <f>E5*R51</f>
        <v>0</v>
      </c>
      <c r="F51" s="88">
        <f>F5*S51</f>
        <v>53.666666666666671</v>
      </c>
      <c r="G51" s="88">
        <f>G5*T51</f>
        <v>54.833333333333336</v>
      </c>
      <c r="H51" s="89">
        <f t="shared" si="15"/>
        <v>108.5</v>
      </c>
      <c r="I51" s="93">
        <f>SUM(C51:G51)</f>
        <v>108.5</v>
      </c>
      <c r="J51" s="102">
        <v>350</v>
      </c>
      <c r="K51" s="182" t="s">
        <v>460</v>
      </c>
      <c r="L51" s="168" t="s">
        <v>324</v>
      </c>
      <c r="O51" s="84" t="s">
        <v>257</v>
      </c>
      <c r="P51" s="103">
        <v>0</v>
      </c>
      <c r="Q51" s="103">
        <f>350/300</f>
        <v>1.1666666666666667</v>
      </c>
      <c r="R51" s="103">
        <f>350/300</f>
        <v>1.1666666666666667</v>
      </c>
      <c r="S51" s="103">
        <f>350/300*0.5</f>
        <v>0.58333333333333337</v>
      </c>
      <c r="T51" s="103">
        <f>350/300*0.5</f>
        <v>0.58333333333333337</v>
      </c>
    </row>
    <row r="52" spans="1:20">
      <c r="A52" s="36"/>
      <c r="B52" s="84" t="s">
        <v>258</v>
      </c>
      <c r="C52" s="88">
        <f>C5*P52</f>
        <v>0</v>
      </c>
      <c r="D52" s="88">
        <f>D5*Q52</f>
        <v>0</v>
      </c>
      <c r="E52" s="88">
        <f>E5*R52</f>
        <v>0</v>
      </c>
      <c r="F52" s="88">
        <f>F5*S52</f>
        <v>9.2000000000000011</v>
      </c>
      <c r="G52" s="88">
        <f>G5*T52</f>
        <v>9.4</v>
      </c>
      <c r="H52" s="89">
        <f t="shared" si="15"/>
        <v>18.600000000000001</v>
      </c>
      <c r="I52" s="93">
        <f>SUM(C52:G52)</f>
        <v>18.600000000000001</v>
      </c>
      <c r="J52" s="102">
        <v>100</v>
      </c>
      <c r="K52" s="182" t="s">
        <v>460</v>
      </c>
      <c r="L52" s="168" t="s">
        <v>324</v>
      </c>
      <c r="O52" s="84" t="s">
        <v>262</v>
      </c>
      <c r="P52" s="76">
        <v>0.2</v>
      </c>
      <c r="Q52" s="103">
        <v>0.3</v>
      </c>
      <c r="R52" s="103">
        <v>0.3</v>
      </c>
      <c r="S52" s="103">
        <v>0.1</v>
      </c>
      <c r="T52" s="103">
        <v>0.1</v>
      </c>
    </row>
    <row r="53" spans="1:20">
      <c r="A53" s="36"/>
      <c r="B53" s="84" t="s">
        <v>266</v>
      </c>
      <c r="C53" s="88">
        <f>C4*P53</f>
        <v>131</v>
      </c>
      <c r="D53" s="88">
        <f>D4*Q53</f>
        <v>132</v>
      </c>
      <c r="E53" s="88">
        <f>E4*R53</f>
        <v>123</v>
      </c>
      <c r="F53" s="88">
        <f>F4*S53</f>
        <v>66</v>
      </c>
      <c r="G53" s="88">
        <f>G4*T53</f>
        <v>67</v>
      </c>
      <c r="H53" s="89">
        <f t="shared" si="15"/>
        <v>133</v>
      </c>
      <c r="I53" s="93">
        <f>SUM(C53:G53)+탐구계산sheet!J25</f>
        <v>522</v>
      </c>
      <c r="J53" s="102">
        <v>547</v>
      </c>
      <c r="K53" s="182" t="s">
        <v>460</v>
      </c>
      <c r="L53" s="168" t="s">
        <v>324</v>
      </c>
      <c r="O53" s="84" t="s">
        <v>266</v>
      </c>
      <c r="P53" s="103">
        <v>1</v>
      </c>
      <c r="Q53" s="103">
        <v>1</v>
      </c>
      <c r="R53" s="103">
        <v>1</v>
      </c>
      <c r="S53" s="103">
        <v>1</v>
      </c>
      <c r="T53" s="103">
        <v>1</v>
      </c>
    </row>
    <row r="54" spans="1:20">
      <c r="A54" s="36"/>
      <c r="B54" s="84" t="s">
        <v>267</v>
      </c>
      <c r="C54" s="88">
        <f>C4*P54</f>
        <v>131</v>
      </c>
      <c r="D54" s="88">
        <f>D4*Q54</f>
        <v>198</v>
      </c>
      <c r="E54" s="88">
        <f>E4*R54</f>
        <v>184.5</v>
      </c>
      <c r="F54" s="88">
        <f>F4*S54</f>
        <v>66</v>
      </c>
      <c r="G54" s="88">
        <f>G4*T54</f>
        <v>67</v>
      </c>
      <c r="H54" s="89">
        <f t="shared" si="15"/>
        <v>133</v>
      </c>
      <c r="I54" s="93">
        <f>SUM(C54:G54)</f>
        <v>646.5</v>
      </c>
      <c r="J54" s="102">
        <v>688</v>
      </c>
      <c r="K54" s="182" t="s">
        <v>460</v>
      </c>
      <c r="L54" s="168" t="s">
        <v>324</v>
      </c>
      <c r="O54" s="84" t="s">
        <v>268</v>
      </c>
      <c r="P54" s="103">
        <v>1</v>
      </c>
      <c r="Q54" s="103">
        <v>1.5</v>
      </c>
      <c r="R54" s="103">
        <v>1.5</v>
      </c>
      <c r="S54" s="103">
        <v>1</v>
      </c>
      <c r="T54" s="103">
        <v>1</v>
      </c>
    </row>
    <row r="55" spans="1:20">
      <c r="A55" s="36"/>
      <c r="B55" s="84" t="s">
        <v>270</v>
      </c>
      <c r="C55" s="88">
        <f t="shared" ref="C55:E56" si="18">C4*P55</f>
        <v>119.09090909090909</v>
      </c>
      <c r="D55" s="88">
        <f t="shared" si="18"/>
        <v>172.17391304347825</v>
      </c>
      <c r="E55" s="88">
        <f t="shared" si="18"/>
        <v>162.79411764705881</v>
      </c>
      <c r="F55" s="88">
        <f>F5*S55</f>
        <v>55.199999999999996</v>
      </c>
      <c r="G55" s="88">
        <f>G5*T55</f>
        <v>56.4</v>
      </c>
      <c r="H55" s="89">
        <f t="shared" si="15"/>
        <v>111.6</v>
      </c>
      <c r="I55" s="93">
        <f>SUM(C55:G55)</f>
        <v>565.65893978144618</v>
      </c>
      <c r="J55" s="102"/>
      <c r="K55" s="182" t="s">
        <v>460</v>
      </c>
      <c r="L55" s="168" t="s">
        <v>324</v>
      </c>
      <c r="O55" s="84" t="s">
        <v>270</v>
      </c>
      <c r="P55" s="103">
        <f>120/C3</f>
        <v>0.90909090909090906</v>
      </c>
      <c r="Q55" s="103">
        <f>180/D3</f>
        <v>1.3043478260869565</v>
      </c>
      <c r="R55" s="103">
        <f>180/E3</f>
        <v>1.3235294117647058</v>
      </c>
      <c r="S55" s="103">
        <f>120/200</f>
        <v>0.6</v>
      </c>
      <c r="T55" s="103">
        <f>120/200</f>
        <v>0.6</v>
      </c>
    </row>
    <row r="56" spans="1:20">
      <c r="A56" s="36"/>
      <c r="B56" s="84" t="s">
        <v>271</v>
      </c>
      <c r="C56" s="88">
        <f t="shared" si="18"/>
        <v>0</v>
      </c>
      <c r="D56" s="88">
        <f t="shared" si="18"/>
        <v>0</v>
      </c>
      <c r="E56" s="88">
        <f t="shared" si="18"/>
        <v>0</v>
      </c>
      <c r="F56" s="88">
        <f>F5*S56</f>
        <v>92</v>
      </c>
      <c r="G56" s="88">
        <f>G5*T56</f>
        <v>94</v>
      </c>
      <c r="H56" s="89">
        <f t="shared" si="15"/>
        <v>186</v>
      </c>
      <c r="I56" s="93">
        <f>SUM(C56:G56)</f>
        <v>186</v>
      </c>
      <c r="J56" s="102"/>
      <c r="K56" s="182" t="s">
        <v>460</v>
      </c>
      <c r="L56" s="168" t="s">
        <v>324</v>
      </c>
      <c r="O56" s="84" t="s">
        <v>271</v>
      </c>
      <c r="P56" s="76">
        <v>0</v>
      </c>
      <c r="Q56" s="103">
        <f>2*1.08</f>
        <v>2.16</v>
      </c>
      <c r="R56" s="103">
        <v>2</v>
      </c>
      <c r="S56" s="103">
        <v>1</v>
      </c>
      <c r="T56" s="103">
        <v>1</v>
      </c>
    </row>
    <row r="57" spans="1:20">
      <c r="A57" s="36"/>
      <c r="B57" s="84" t="s">
        <v>273</v>
      </c>
      <c r="C57" s="88"/>
      <c r="D57" s="88"/>
      <c r="E57" s="88"/>
      <c r="F57" s="88"/>
      <c r="G57" s="88"/>
      <c r="H57" s="89"/>
      <c r="I57" s="93" t="s">
        <v>272</v>
      </c>
      <c r="J57" s="102"/>
      <c r="K57" s="182" t="s">
        <v>460</v>
      </c>
      <c r="L57" s="168" t="s">
        <v>324</v>
      </c>
      <c r="O57" s="84" t="s">
        <v>273</v>
      </c>
      <c r="P57" s="103"/>
      <c r="Q57" s="103"/>
      <c r="R57" s="103"/>
      <c r="S57" s="103"/>
      <c r="T57" s="103"/>
    </row>
    <row r="58" spans="1:20">
      <c r="A58" s="36"/>
      <c r="B58" s="84" t="s">
        <v>274</v>
      </c>
      <c r="C58" s="88">
        <f>C5*P58</f>
        <v>0</v>
      </c>
      <c r="D58" s="88">
        <f>D5*Q58</f>
        <v>0</v>
      </c>
      <c r="E58" s="88">
        <f>E5*R58</f>
        <v>0</v>
      </c>
      <c r="F58" s="88">
        <f>F5*S58</f>
        <v>128.79999999999998</v>
      </c>
      <c r="G58" s="88">
        <f>G5*T58</f>
        <v>131.6</v>
      </c>
      <c r="H58" s="89">
        <f t="shared" si="15"/>
        <v>260.39999999999998</v>
      </c>
      <c r="I58" s="93">
        <f>SUM(C58:G58)</f>
        <v>260.39999999999998</v>
      </c>
      <c r="J58" s="102">
        <v>1000</v>
      </c>
      <c r="K58" s="182" t="s">
        <v>460</v>
      </c>
      <c r="L58" s="168" t="s">
        <v>324</v>
      </c>
      <c r="O58" s="84" t="s">
        <v>274</v>
      </c>
      <c r="P58" s="103">
        <v>2.4</v>
      </c>
      <c r="Q58" s="103">
        <v>2.8</v>
      </c>
      <c r="R58" s="103">
        <v>2</v>
      </c>
      <c r="S58" s="103">
        <v>1.4</v>
      </c>
      <c r="T58" s="103">
        <v>1.4</v>
      </c>
    </row>
    <row r="59" spans="1:20">
      <c r="A59" s="36"/>
      <c r="B59" s="84" t="s">
        <v>282</v>
      </c>
      <c r="C59" s="88">
        <f>C5*P59</f>
        <v>0</v>
      </c>
      <c r="D59" s="88">
        <f>D5*Q59</f>
        <v>0</v>
      </c>
      <c r="E59" s="88">
        <f>E5*R59</f>
        <v>0</v>
      </c>
      <c r="F59" s="88">
        <f>탐구계산sheet!E47*S59</f>
        <v>82.25</v>
      </c>
      <c r="G59" s="88">
        <f>탐구계산sheet!F47*T59</f>
        <v>80.5</v>
      </c>
      <c r="H59" s="89">
        <f t="shared" si="15"/>
        <v>162.75</v>
      </c>
      <c r="I59" s="93">
        <f>SUM(C59:G59)*탐구계산sheet!J1*탐구계산sheet!AE20</f>
        <v>162.75</v>
      </c>
      <c r="J59" s="102">
        <v>700</v>
      </c>
      <c r="K59" s="182" t="s">
        <v>460</v>
      </c>
      <c r="L59" s="168" t="s">
        <v>324</v>
      </c>
      <c r="O59" s="84" t="s">
        <v>282</v>
      </c>
      <c r="P59" s="103">
        <v>1.4</v>
      </c>
      <c r="Q59" s="103">
        <v>2.1</v>
      </c>
      <c r="R59" s="103">
        <v>1.75</v>
      </c>
      <c r="S59" s="103">
        <f>1.75/2</f>
        <v>0.875</v>
      </c>
      <c r="T59" s="103">
        <f>1.75/2</f>
        <v>0.875</v>
      </c>
    </row>
    <row r="60" spans="1:20">
      <c r="P60">
        <f>P58/SUM($P$58:$T$58)</f>
        <v>0.24</v>
      </c>
      <c r="Q60" s="25">
        <f t="shared" ref="Q60:T60" si="19">Q58/SUM($P$58:$T$58)</f>
        <v>0.27999999999999997</v>
      </c>
      <c r="R60" s="25">
        <f t="shared" si="19"/>
        <v>0.2</v>
      </c>
      <c r="S60" s="25">
        <f t="shared" si="19"/>
        <v>0.13999999999999999</v>
      </c>
      <c r="T60" s="25">
        <f t="shared" si="19"/>
        <v>0.13999999999999999</v>
      </c>
    </row>
  </sheetData>
  <sheetProtection algorithmName="SHA-512" hashValue="vNbb72pBUYdQW0V10pEehDoCBCHxMHal2fRNpLB+CcqiUxmdJLVZ16KCvGaF5SCVIzWxy/f/nAEdBL81Z0QTzg==" saltValue="c97wOhFDLI/J/8w/Uq4XpA==" spinCount="100000" sheet="1" objects="1" scenarios="1" selectLockedCells="1" selectUnlockedCells="1"/>
  <mergeCells count="2">
    <mergeCell ref="J2:R3"/>
    <mergeCell ref="J5:R5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C2:P17"/>
  <sheetViews>
    <sheetView showGridLines="0" zoomScale="85" zoomScaleNormal="85" workbookViewId="0">
      <selection activeCell="H9" sqref="H9:H10"/>
    </sheetView>
  </sheetViews>
  <sheetFormatPr defaultRowHeight="16.5"/>
  <cols>
    <col min="3" max="3" width="15.5" customWidth="1"/>
    <col min="5" max="5" width="12.75" style="25" bestFit="1" customWidth="1"/>
    <col min="6" max="6" width="12" bestFit="1" customWidth="1"/>
    <col min="7" max="7" width="10" customWidth="1"/>
    <col min="8" max="8" width="14.875" style="36" customWidth="1"/>
    <col min="9" max="9" width="12.75" bestFit="1" customWidth="1"/>
    <col min="10" max="10" width="18" customWidth="1"/>
    <col min="12" max="12" width="9" style="96"/>
    <col min="13" max="13" width="12.375" customWidth="1"/>
    <col min="14" max="14" width="9" style="96"/>
    <col min="16" max="16" width="9" style="96"/>
  </cols>
  <sheetData>
    <row r="2" spans="3:16" s="107" customFormat="1" ht="13.5">
      <c r="E2" s="109"/>
      <c r="F2" s="108" t="s">
        <v>307</v>
      </c>
      <c r="G2" s="109"/>
      <c r="H2" s="131"/>
      <c r="I2" s="109"/>
      <c r="J2" s="109"/>
      <c r="K2" s="109"/>
      <c r="L2" s="118"/>
      <c r="M2" s="109"/>
      <c r="N2" s="121"/>
      <c r="O2" s="110"/>
      <c r="P2" s="122"/>
    </row>
    <row r="3" spans="3:16" s="107" customFormat="1" ht="13.5">
      <c r="E3" s="111"/>
      <c r="F3" s="111"/>
      <c r="G3" s="111"/>
      <c r="H3" s="132"/>
      <c r="I3" s="112" t="s">
        <v>308</v>
      </c>
      <c r="J3" s="111"/>
      <c r="K3" s="111"/>
      <c r="L3" s="119"/>
      <c r="M3" s="111"/>
      <c r="N3" s="122"/>
      <c r="P3" s="122"/>
    </row>
    <row r="5" spans="3:16">
      <c r="C5" s="107"/>
      <c r="D5" s="107"/>
      <c r="E5" s="107"/>
      <c r="F5" s="107" t="s">
        <v>322</v>
      </c>
      <c r="G5" s="107"/>
      <c r="H5" s="132"/>
    </row>
    <row r="6" spans="3:16">
      <c r="C6" s="125" t="s">
        <v>97</v>
      </c>
      <c r="D6" s="117" t="s">
        <v>83</v>
      </c>
      <c r="E6" s="117" t="s">
        <v>313</v>
      </c>
      <c r="F6" s="117" t="s">
        <v>311</v>
      </c>
      <c r="G6" s="117" t="s">
        <v>312</v>
      </c>
      <c r="H6" s="132" t="s">
        <v>314</v>
      </c>
      <c r="I6" s="15"/>
      <c r="J6" s="15"/>
      <c r="K6" s="117" t="s">
        <v>315</v>
      </c>
      <c r="L6" s="120" t="s">
        <v>316</v>
      </c>
      <c r="M6" s="117" t="s">
        <v>317</v>
      </c>
      <c r="N6" s="120" t="s">
        <v>316</v>
      </c>
      <c r="O6" s="117" t="s">
        <v>318</v>
      </c>
      <c r="P6" s="120" t="s">
        <v>319</v>
      </c>
    </row>
    <row r="7" spans="3:16">
      <c r="C7" s="125" t="s">
        <v>320</v>
      </c>
      <c r="D7" s="126">
        <f>계산!I10</f>
        <v>517.31999999999994</v>
      </c>
      <c r="E7" s="15">
        <f>VLOOKUP(칼레누적!D7,칼레이도스코프!$A:$J,1,TRUE)</f>
        <v>517.20000000000005</v>
      </c>
      <c r="F7" s="123">
        <f>VLOOKUP(칼레누적!D7,칼레이도스코프!$A:$J,10,TRUE)</f>
        <v>2.3699999999999999E-2</v>
      </c>
      <c r="G7" s="127">
        <f>VLOOKUP(칼레누적!D7,칼레이도스코프!$A:$J,9,TRUE)</f>
        <v>3798</v>
      </c>
      <c r="H7" s="36" t="str">
        <f ca="1">CONCATENATE(L7*100,"%~",N7*100,"%")</f>
        <v>2.31%~2.37%</v>
      </c>
      <c r="I7" s="15"/>
      <c r="J7" s="15"/>
      <c r="K7" s="15">
        <f ca="1">OFFSET(칼레이도스코프!$A$1,MATCH(E7,칼레이도스코프!A:A,0),0,1,1)</f>
        <v>517.42999999999995</v>
      </c>
      <c r="L7" s="128">
        <f ca="1">OFFSET(칼레이도스코프!A1,MATCH(E7,칼레이도스코프!A:A,0),9,1,1)</f>
        <v>2.3099999999999999E-2</v>
      </c>
      <c r="M7" s="15">
        <f ca="1">OFFSET(칼레이도스코프!A1,MATCH(E7,칼레이도스코프!A:A,0)-1,0,1,1)</f>
        <v>517.20000000000005</v>
      </c>
      <c r="N7" s="128">
        <f ca="1">OFFSET(칼레이도스코프!A1,MATCH(E7,칼레이도스코프!A:A,0)-1,9,1,1)</f>
        <v>2.3699999999999999E-2</v>
      </c>
      <c r="O7" s="15">
        <f ca="1">OFFSET(칼레이도스코프!A1,MATCH(E7,칼레이도스코프!A:A,0)-2,0,1,1)</f>
        <v>516.91</v>
      </c>
      <c r="P7" s="128">
        <f ca="1">OFFSET(칼레이도스코프!A1,MATCH(E7,칼레이도스코프!A:A,0)-2,9,1,1)</f>
        <v>2.4400000000000002E-2</v>
      </c>
    </row>
    <row r="8" spans="3:16" s="25" customFormat="1">
      <c r="C8" s="125" t="s">
        <v>391</v>
      </c>
      <c r="D8" s="126" t="e">
        <f>계산!I11</f>
        <v>#N/A</v>
      </c>
      <c r="E8" s="15" t="e">
        <f>VLOOKUP(칼레누적!$D$8,칼레이도스코프!$AB:$AD,1,TRUE)</f>
        <v>#N/A</v>
      </c>
      <c r="F8" s="123" t="e">
        <f>VLOOKUP(칼레누적!$D$8,칼레이도스코프!$AB:$AD,3,TRUE)</f>
        <v>#N/A</v>
      </c>
      <c r="G8" s="127" t="e">
        <f>VLOOKUP(칼레누적!$D$8,칼레이도스코프!$AB:$AD,2,TRUE)</f>
        <v>#N/A</v>
      </c>
      <c r="H8" s="36" t="e">
        <f t="shared" ref="H8:H17" ca="1" si="0">CONCATENATE(L8*100,"%~",N8*100,"%")</f>
        <v>#N/A</v>
      </c>
      <c r="I8" s="15" t="s">
        <v>374</v>
      </c>
      <c r="J8" s="15"/>
      <c r="K8" s="15" t="e">
        <f ca="1">OFFSET(칼레이도스코프!$AB$1,MATCH(E8,칼레이도스코프!$AB:$AB,0),0,1,1)</f>
        <v>#N/A</v>
      </c>
      <c r="L8" s="128" t="e">
        <f ca="1">OFFSET(칼레이도스코프!$AB$1,MATCH($E$8,칼레이도스코프!$AB:$AB,0),2,1,1)</f>
        <v>#N/A</v>
      </c>
      <c r="M8" s="15" t="e">
        <f ca="1">OFFSET(칼레이도스코프!$AB$1,MATCH($E$8,칼레이도스코프!$AB:$AB,0)-1,0,1,1)</f>
        <v>#N/A</v>
      </c>
      <c r="N8" s="128" t="e">
        <f ca="1">OFFSET(칼레이도스코프!$AB$1,MATCH($E$8,칼레이도스코프!$AB:$AB,0)-1,2,1,1)</f>
        <v>#N/A</v>
      </c>
      <c r="O8" s="15" t="e">
        <f ca="1">OFFSET(칼레이도스코프!$AB$1,MATCH($E$8,칼레이도스코프!$AB:$AB,0)-2,0,1,1)</f>
        <v>#N/A</v>
      </c>
      <c r="P8" s="128" t="e">
        <f ca="1">OFFSET(칼레이도스코프!$AB$1,MATCH($E$8,칼레이도스코프!$AB:$AB,0)-2,2,1,1)</f>
        <v>#N/A</v>
      </c>
    </row>
    <row r="9" spans="3:16">
      <c r="C9" s="125" t="s">
        <v>321</v>
      </c>
      <c r="D9" s="199">
        <f>계산!I12</f>
        <v>322.54750000000001</v>
      </c>
      <c r="E9" s="15">
        <f>VLOOKUP(칼레누적!D9,칼레이도스코프!$B:$J,1,TRUE)</f>
        <v>322.48</v>
      </c>
      <c r="F9" s="123">
        <f>VLOOKUP(칼레누적!D9,칼레이도스코프!$B:$J,9,TRUE)</f>
        <v>2.81E-2</v>
      </c>
      <c r="G9" s="127">
        <f>VLOOKUP(칼레누적!D9,칼레이도스코프!$B:$J,8,TRUE)</f>
        <v>4497</v>
      </c>
      <c r="H9" s="36" t="str">
        <f t="shared" ca="1" si="0"/>
        <v>2.75%~2.81%</v>
      </c>
      <c r="I9" s="15"/>
      <c r="J9" s="15"/>
      <c r="K9" s="15">
        <f ca="1">OFFSET(칼레이도스코프!$A$1,MATCH(E9,칼레이도스코프!B:B,0),1,1,1)</f>
        <v>322.72000000000003</v>
      </c>
      <c r="L9" s="128">
        <f ca="1">OFFSET(칼레이도스코프!$A$1,MATCH(E9,칼레이도스코프!B:B,0),9,1,1)</f>
        <v>2.75E-2</v>
      </c>
      <c r="M9" s="15">
        <f ca="1">OFFSET(칼레이도스코프!$A$1,MATCH(E9,칼레이도스코프!B:B,0)-1,1,1,1)</f>
        <v>322.48</v>
      </c>
      <c r="N9" s="128">
        <f ca="1">OFFSET(칼레이도스코프!$A$1,MATCH(E9,칼레이도스코프!B:B,0)-1,9,1,1)</f>
        <v>2.81E-2</v>
      </c>
      <c r="O9" s="15">
        <f ca="1">OFFSET(칼레이도스코프!$A$1,MATCH(E9,칼레이도스코프!B:B,0)-2,1,1,1)</f>
        <v>322.26</v>
      </c>
      <c r="P9" s="128">
        <f ca="1">OFFSET(칼레이도스코프!$A$1,MATCH(E9,칼레이도스코프!B:B,0)-2,9,1,1)</f>
        <v>2.87E-2</v>
      </c>
    </row>
    <row r="10" spans="3:16" s="25" customFormat="1">
      <c r="C10" s="125" t="s">
        <v>521</v>
      </c>
      <c r="D10" s="199">
        <f>계산!I13</f>
        <v>321.43928571428575</v>
      </c>
      <c r="E10" s="15" t="e">
        <f>VLOOKUP(D10,칼레이도스코프!AJ:AL,1,TRUE)</f>
        <v>#N/A</v>
      </c>
      <c r="F10" s="123" t="e">
        <f>VLOOKUP(D10,칼레이도스코프!AJ:AL,3,TRUE)</f>
        <v>#N/A</v>
      </c>
      <c r="G10" s="127" t="e">
        <f>VLOOKUP(D10,칼레이도스코프!AJ:AL,2,TRUE)</f>
        <v>#N/A</v>
      </c>
      <c r="H10" s="36" t="e">
        <f t="shared" ca="1" si="0"/>
        <v>#N/A</v>
      </c>
      <c r="I10" s="15"/>
      <c r="J10" s="15"/>
      <c r="K10" s="15" t="e">
        <f ca="1">OFFSET(칼레이도스코프!AJ1,MATCH(E10,칼레이도스코프!AJ:AJ,0),0,1,1)</f>
        <v>#N/A</v>
      </c>
      <c r="L10" s="128" t="e">
        <f ca="1">VLOOKUP(K10,칼레이도스코프!AJ:AL,3,TRUE)</f>
        <v>#N/A</v>
      </c>
      <c r="M10" s="236">
        <f>D10</f>
        <v>321.43928571428575</v>
      </c>
      <c r="N10" s="128" t="e">
        <f>F10</f>
        <v>#N/A</v>
      </c>
      <c r="O10" s="15" t="e">
        <f ca="1">OFFSET(칼레이도스코프!AJ1,MATCH(E10,칼레이도스코프!AJ:AJ,0)-2,0,1,1)</f>
        <v>#N/A</v>
      </c>
      <c r="P10" s="128" t="e">
        <f ca="1">VLOOKUP(O10,칼레이도스코프!AJ:AL,3,TRUE)</f>
        <v>#N/A</v>
      </c>
    </row>
    <row r="11" spans="3:16">
      <c r="C11" s="125" t="s">
        <v>8</v>
      </c>
      <c r="D11" s="199">
        <f>계산!I14</f>
        <v>466.66087359518013</v>
      </c>
      <c r="E11" s="15">
        <f>VLOOKUP(칼레누적!D11,칼레이도스코프!$X:$Z,1,TRUE)</f>
        <v>466.47</v>
      </c>
      <c r="F11" s="123">
        <f>VLOOKUP(칼레누적!D11,칼레이도스코프!$X:$Z,3,TRUE)</f>
        <v>3.4299999999999997E-2</v>
      </c>
      <c r="G11" s="124">
        <f>VLOOKUP(칼레누적!D11,칼레이도스코프!$X:$Z,2,TRUE)</f>
        <v>5498</v>
      </c>
      <c r="H11" s="36" t="str">
        <f t="shared" ca="1" si="0"/>
        <v>3.37%~3.43%</v>
      </c>
      <c r="I11" s="15"/>
      <c r="J11" s="15"/>
      <c r="K11" s="15">
        <f ca="1">OFFSET(칼레이도스코프!$X$1,MATCH($E$11,칼레이도스코프!$X:$X,0),0,1,1)</f>
        <v>466.69</v>
      </c>
      <c r="L11" s="128">
        <f ca="1">OFFSET(칼레이도스코프!$X$1,MATCH($E$11,칼레이도스코프!$X:$X,0),2,1,1)</f>
        <v>3.3700000000000001E-2</v>
      </c>
      <c r="M11" s="15">
        <f ca="1">OFFSET(칼레이도스코프!$X$1,MATCH($E$11,칼레이도스코프!$X:$X,0)-1,0,1,1)</f>
        <v>466.47</v>
      </c>
      <c r="N11" s="128">
        <f ca="1">OFFSET(칼레이도스코프!$X$1,MATCH($E$11,칼레이도스코프!$X:$X,0)-1,2,1,1)</f>
        <v>3.4299999999999997E-2</v>
      </c>
      <c r="O11" s="15">
        <f ca="1">OFFSET(칼레이도스코프!$X$1,MATCH($E$11,칼레이도스코프!$X:$X,0)-2,0,1,1)</f>
        <v>466.15</v>
      </c>
      <c r="P11" s="128">
        <f ca="1">OFFSET(칼레이도스코프!$X$1,MATCH($E$11,칼레이도스코프!$X:$X,0)-2,2,1,1)</f>
        <v>3.5000000000000003E-2</v>
      </c>
    </row>
    <row r="12" spans="3:16">
      <c r="C12" s="125" t="s">
        <v>17</v>
      </c>
      <c r="D12" s="199">
        <f>계산!I15</f>
        <v>471.6462433831486</v>
      </c>
      <c r="E12" s="15">
        <f>VLOOKUP(칼레누적!D12,칼레이도스코프!$C:$J,1,TRUE)</f>
        <v>471.55</v>
      </c>
      <c r="F12" s="123">
        <f>VLOOKUP(칼레누적!D12,칼레이도스코프!$C:$J,8,TRUE)</f>
        <v>2.81E-2</v>
      </c>
      <c r="G12" s="127">
        <f>VLOOKUP(칼레누적!D12,칼레이도스코프!$C:$J,7,TRUE)</f>
        <v>4497</v>
      </c>
      <c r="H12" s="36" t="str">
        <f t="shared" ca="1" si="0"/>
        <v>2.75%~2.81%</v>
      </c>
      <c r="I12" s="15"/>
      <c r="J12" s="15"/>
      <c r="K12" s="15">
        <f ca="1">OFFSET(칼레이도스코프!$A$1,MATCH(E12,칼레이도스코프!C:C,0),2,1,1)</f>
        <v>471.89</v>
      </c>
      <c r="L12" s="128">
        <f ca="1">OFFSET(칼레이도스코프!$A$1,MATCH(E12,칼레이도스코프!C:C,0),9,1,1)</f>
        <v>2.75E-2</v>
      </c>
      <c r="M12" s="15">
        <f ca="1">OFFSET(칼레이도스코프!$A$1,MATCH(E12,칼레이도스코프!C:C,0)-1,2,1,1)</f>
        <v>471.55</v>
      </c>
      <c r="N12" s="128">
        <f ca="1">OFFSET(칼레이도스코프!$A$1,MATCH(E12,칼레이도스코프!C:C,0)-1,9,1,1)</f>
        <v>2.81E-2</v>
      </c>
      <c r="O12" s="15">
        <f ca="1">OFFSET(칼레이도스코프!$A$1,MATCH(E12,칼레이도스코프!C:C,0)-2,2,1,1)</f>
        <v>471.2</v>
      </c>
      <c r="P12" s="128">
        <f ca="1">OFFSET(칼레이도스코프!$A$1,MATCH(E12,칼레이도스코프!C:C,0)-2,9,1,1)</f>
        <v>2.87E-2</v>
      </c>
    </row>
    <row r="13" spans="3:16">
      <c r="C13" s="125" t="s">
        <v>18</v>
      </c>
      <c r="D13" s="199">
        <f>계산!I16</f>
        <v>513.88400000000001</v>
      </c>
      <c r="E13" s="15">
        <f>VLOOKUP(칼레누적!D13,칼레이도스코프!$E:$J,1,TRUE)</f>
        <v>513.82000000000005</v>
      </c>
      <c r="F13" s="123">
        <f>VLOOKUP(칼레누적!D13,칼레이도스코프!$E:$J,6,TRUE)</f>
        <v>3.1800000000000002E-2</v>
      </c>
      <c r="G13" s="127">
        <f>VLOOKUP(칼레누적!D13,칼레이도스코프!$E:$J,5,TRUE)</f>
        <v>5100</v>
      </c>
      <c r="H13" s="36" t="str">
        <f t="shared" ca="1" si="0"/>
        <v>3.12%~3.18%</v>
      </c>
      <c r="I13" s="15"/>
      <c r="J13" s="15"/>
      <c r="K13" s="15">
        <f ca="1">OFFSET(칼레이도스코프!$A$1,MATCH(E13,칼레이도스코프!E:E,0),4,1,1)</f>
        <v>514.07000000000005</v>
      </c>
      <c r="L13" s="128">
        <f ca="1">OFFSET(칼레이도스코프!$A$1,MATCH(E13,칼레이도스코프!E:E,0),9,1,1)</f>
        <v>3.1199999999999999E-2</v>
      </c>
      <c r="M13" s="15">
        <f ca="1">OFFSET(칼레이도스코프!$A$1,MATCH(E13,칼레이도스코프!E:E,0)-1,4,1,1)</f>
        <v>513.82000000000005</v>
      </c>
      <c r="N13" s="128">
        <f ca="1">OFFSET(칼레이도스코프!$A$1,MATCH(E13,칼레이도스코프!E:E,0)-1,9,1,1)</f>
        <v>3.1800000000000002E-2</v>
      </c>
      <c r="O13" s="15">
        <f ca="1">OFFSET(칼레이도스코프!$A$1,MATCH(E13,칼레이도스코프!E:E,0)-2,4,1,1)</f>
        <v>513.58000000000004</v>
      </c>
      <c r="P13" s="128">
        <f ca="1">OFFSET(칼레이도스코프!$A$1,MATCH(E13,칼레이도스코프!E:E,0)-2,9,1,1)</f>
        <v>3.2399999999999998E-2</v>
      </c>
    </row>
    <row r="14" spans="3:16">
      <c r="C14" s="125" t="s">
        <v>19</v>
      </c>
      <c r="D14" s="199">
        <f>계산!I17</f>
        <v>262.93</v>
      </c>
      <c r="E14" s="129">
        <f>VLOOKUP(칼레누적!$D$14,칼레이도스코프!$L:$N,1,TRUE)</f>
        <v>262.92</v>
      </c>
      <c r="F14" s="130">
        <f>VLOOKUP(칼레누적!$D$14,칼레이도스코프!$L:$N,3,TRUE)</f>
        <v>2.75E-2</v>
      </c>
      <c r="G14" s="124">
        <f>VLOOKUP(칼레누적!$D$14,칼레이도스코프!$L:$N,2,TRUE)</f>
        <v>4399</v>
      </c>
      <c r="H14" s="36" t="str">
        <f t="shared" ca="1" si="0"/>
        <v>2.68%~2.68%</v>
      </c>
      <c r="I14" s="15"/>
      <c r="J14" s="15"/>
      <c r="K14" s="15">
        <f ca="1">OFFSET(칼레이도스코프!$L$1,MATCH($E$14,칼레이도스코프!$L:$L,0),0,1,1)</f>
        <v>263.16000000000003</v>
      </c>
      <c r="L14" s="128">
        <f ca="1">OFFSET(칼레이도스코프!$L$1,MATCH($E$14,칼레이도스코프!$L:$L,0),2,1,1)</f>
        <v>2.6800000000000001E-2</v>
      </c>
      <c r="M14" s="15">
        <f ca="1">OFFSET(칼레이도스코프!$L$1,MATCH($E$14,칼레이도스코프!$L:$L,0)-1,0,1,1)</f>
        <v>262.92</v>
      </c>
      <c r="N14" s="128">
        <f ca="1">OFFSET(칼레이도스코프!$L$1,MATCH($E$14,칼레이도스코프!$L:$L,0),2,1,1)</f>
        <v>2.6800000000000001E-2</v>
      </c>
      <c r="O14" s="15">
        <f ca="1">OFFSET(칼레이도스코프!$L$1,MATCH($E$14,칼레이도스코프!$L:$L,0)-2,0,1,1)</f>
        <v>262.79000000000002</v>
      </c>
      <c r="P14" s="128">
        <f ca="1">OFFSET(칼레이도스코프!$L$1,MATCH($E$14,칼레이도스코프!$L:$L,0),2,1,1)</f>
        <v>2.6800000000000001E-2</v>
      </c>
    </row>
    <row r="15" spans="3:16">
      <c r="C15" s="125" t="s">
        <v>21</v>
      </c>
      <c r="D15" s="199">
        <f>계산!I18</f>
        <v>453.87649999999996</v>
      </c>
      <c r="E15" s="15">
        <f>VLOOKUP(칼레누적!$D$15,칼레이도스코프!$G:$J,1,TRUE)</f>
        <v>453.77</v>
      </c>
      <c r="F15" s="130">
        <f>VLOOKUP(칼레누적!$D$15,칼레이도스코프!$G:$J,4,TRUE)</f>
        <v>2.81E-2</v>
      </c>
      <c r="G15" s="15">
        <f>VLOOKUP(칼레누적!$D$15,칼레이도스코프!$G:$J,3,TRUE)</f>
        <v>4497</v>
      </c>
      <c r="H15" s="36" t="str">
        <f t="shared" ca="1" si="0"/>
        <v>2.75%~2.81%</v>
      </c>
      <c r="I15" s="15"/>
      <c r="J15" s="15"/>
      <c r="K15" s="15">
        <f ca="1">OFFSET(칼레이도스코프!$A$1,MATCH(E15,칼레이도스코프!G:G,0),6,1,1)</f>
        <v>454.1</v>
      </c>
      <c r="L15" s="128">
        <f ca="1">OFFSET(칼레이도스코프!$A$1,MATCH(E15,칼레이도스코프!G:G,0),9,1,1)</f>
        <v>2.75E-2</v>
      </c>
      <c r="M15" s="15">
        <f ca="1">OFFSET(칼레이도스코프!$A$1,MATCH(E15,칼레이도스코프!G:G,0)-1,6,1,1)</f>
        <v>453.77</v>
      </c>
      <c r="N15" s="128">
        <f ca="1">OFFSET(칼레이도스코프!$A$1,MATCH(E15,칼레이도스코프!G:G,0)-1,9,1,1)</f>
        <v>2.81E-2</v>
      </c>
      <c r="O15" s="15">
        <f ca="1">OFFSET(칼레이도스코프!$A$1,MATCH(E15,칼레이도스코프!G:G,0)-2,4,1,1)</f>
        <v>515.27</v>
      </c>
      <c r="P15" s="128">
        <f ca="1">OFFSET(칼레이도스코프!$A$1,MATCH(E15,칼레이도스코프!G:G,0)-2,9,1,1)</f>
        <v>2.87E-2</v>
      </c>
    </row>
    <row r="16" spans="3:16">
      <c r="C16" s="125" t="s">
        <v>22</v>
      </c>
      <c r="D16" s="199">
        <f>계산!I19</f>
        <v>656.51131458512555</v>
      </c>
      <c r="E16" s="15">
        <f>VLOOKUP(칼레누적!D16,칼레이도스코프!$H:$J,1,TRUE)</f>
        <v>656.34</v>
      </c>
      <c r="F16" s="123">
        <f>VLOOKUP(칼레누적!D16,칼레이도스코프!$H:$J,3,TRUE)</f>
        <v>3.2399999999999998E-2</v>
      </c>
      <c r="G16" s="127">
        <f>VLOOKUP(칼레누적!D16,칼레이도스코프!$H:$J,2,TRUE)</f>
        <v>5197</v>
      </c>
      <c r="H16" s="36" t="str">
        <f t="shared" ca="1" si="0"/>
        <v>3.18%~3.24%</v>
      </c>
      <c r="I16" s="15"/>
      <c r="J16" s="15"/>
      <c r="K16" s="15">
        <f ca="1">OFFSET(칼레이도스코프!$A$1,MATCH(E16,칼레이도스코프!H:H,0),7,1,1)</f>
        <v>656.67</v>
      </c>
      <c r="L16" s="128">
        <f ca="1">OFFSET(칼레이도스코프!$A$1,MATCH(E16,칼레이도스코프!H:H,0),9,1,1)</f>
        <v>3.1800000000000002E-2</v>
      </c>
      <c r="M16" s="15">
        <f ca="1">OFFSET(칼레이도스코프!$A$1,MATCH(E16,칼레이도스코프!H:H,0)-1,7,1,1)</f>
        <v>656.34</v>
      </c>
      <c r="N16" s="128">
        <f ca="1">OFFSET(칼레이도스코프!$A$1,MATCH(E16,칼레이도스코프!H:H,0)-1,9,1,1)</f>
        <v>3.2399999999999998E-2</v>
      </c>
      <c r="O16" s="15">
        <f ca="1">OFFSET(칼레이도스코프!$A$1,MATCH(E16,칼레이도스코프!H:H,0)-2,7,1,1)</f>
        <v>656</v>
      </c>
      <c r="P16" s="128">
        <f ca="1">OFFSET(칼레이도스코프!$A$1,MATCH(E16,칼레이도스코프!H:H,0)-2,9,1,1)</f>
        <v>3.3099999999999997E-2</v>
      </c>
    </row>
    <row r="17" spans="3:16">
      <c r="C17" s="125" t="s">
        <v>505</v>
      </c>
      <c r="D17" s="200">
        <f>계산!I20</f>
        <v>660.60799354865492</v>
      </c>
      <c r="E17" s="15">
        <f>VLOOKUP(D17,칼레이도스코프!AF:AH,1,TRUE)</f>
        <v>660.29</v>
      </c>
      <c r="F17" s="130">
        <f>VLOOKUP(D17,칼레이도스코프!AF:AH,3,TRUE)</f>
        <v>2.81E-2</v>
      </c>
      <c r="G17" s="15">
        <f>VLOOKUP(D17,칼레이도스코프!AF:AH,2,TRUE)</f>
        <v>4497</v>
      </c>
      <c r="H17" s="36" t="str">
        <f t="shared" ca="1" si="0"/>
        <v>2.75%~2.81%</v>
      </c>
      <c r="K17" s="15">
        <f ca="1">OFFSET(칼레이도스코프!AF1,MATCH(E17,칼레이도스코프!AF:AF,0),0,1,1)</f>
        <v>660.74</v>
      </c>
      <c r="L17" s="128">
        <f ca="1">VLOOKUP(K17,칼레이도스코프!AF:AH,3,TRUE)</f>
        <v>2.75E-2</v>
      </c>
      <c r="M17" s="15">
        <f>E17</f>
        <v>660.29</v>
      </c>
      <c r="N17" s="128">
        <f>F17</f>
        <v>2.81E-2</v>
      </c>
      <c r="O17" s="15">
        <f ca="1">OFFSET(칼레이도스코프!AF1,MATCH(E17,칼레이도스코프!AF:AF,0)-2,0,1,1)</f>
        <v>659.9</v>
      </c>
      <c r="P17" s="128">
        <f ca="1">VLOOKUP(O17,칼레이도스코프!AF:AH,3,TRUE)</f>
        <v>2.87E-2</v>
      </c>
    </row>
  </sheetData>
  <sheetProtection algorithmName="SHA-512" hashValue="RIGXkFZlZ97o7SJLdhdMAKIGIQJT/yVOd5RhDgetQEF7MhEQdl34ftqrpyW2uAqWf96fr01KctDa1jpH0OTgSA==" saltValue="/gaVAoLSROy8unCHDH7MsQ==" spinCount="100000" sheet="1" objects="1" scenarios="1" selectLockedCells="1" selectUnlockedCells="1"/>
  <phoneticPr fontId="1" type="noConversion"/>
  <hyperlinks>
    <hyperlink ref="I3" r:id="rId1"/>
  </hyperlinks>
  <pageMargins left="0.7" right="0.7" top="0.75" bottom="0.75" header="0.3" footer="0.3"/>
  <pageSetup paperSize="9" orientation="portrait" horizontalDpi="4294967292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C2:P26"/>
  <sheetViews>
    <sheetView showGridLines="0" zoomScale="85" zoomScaleNormal="85" workbookViewId="0">
      <selection activeCell="H23" sqref="E23:H24"/>
    </sheetView>
  </sheetViews>
  <sheetFormatPr defaultRowHeight="16.5"/>
  <cols>
    <col min="1" max="2" width="9" style="25"/>
    <col min="3" max="3" width="15.5" style="25" customWidth="1"/>
    <col min="4" max="4" width="9" style="25"/>
    <col min="5" max="5" width="12.75" style="25" bestFit="1" customWidth="1"/>
    <col min="6" max="6" width="12" style="25" bestFit="1" customWidth="1"/>
    <col min="7" max="7" width="10" style="25" hidden="1" customWidth="1"/>
    <col min="8" max="8" width="14.875" style="36" customWidth="1"/>
    <col min="9" max="9" width="12.75" style="25" bestFit="1" customWidth="1"/>
    <col min="10" max="10" width="18" style="25" customWidth="1"/>
    <col min="11" max="11" width="9" style="25"/>
    <col min="12" max="12" width="9" style="96"/>
    <col min="13" max="13" width="12.375" style="25" customWidth="1"/>
    <col min="14" max="14" width="9" style="96"/>
    <col min="15" max="15" width="9" style="25"/>
    <col min="16" max="16" width="9" style="96"/>
    <col min="17" max="16384" width="9" style="25"/>
  </cols>
  <sheetData>
    <row r="2" spans="3:16" s="107" customFormat="1" ht="13.5">
      <c r="E2" s="109"/>
      <c r="F2" s="108" t="s">
        <v>444</v>
      </c>
      <c r="G2" s="109"/>
      <c r="H2" s="131"/>
      <c r="I2" s="109"/>
      <c r="J2" s="109"/>
      <c r="K2" s="109"/>
      <c r="L2" s="118"/>
      <c r="M2" s="109"/>
      <c r="N2" s="121"/>
      <c r="O2" s="110"/>
      <c r="P2" s="122"/>
    </row>
    <row r="3" spans="3:16" s="107" customFormat="1" ht="13.5">
      <c r="E3" s="111"/>
      <c r="F3" s="111" t="s">
        <v>445</v>
      </c>
      <c r="G3" s="111"/>
      <c r="H3" s="132"/>
      <c r="I3" s="112"/>
      <c r="J3" s="111"/>
      <c r="K3" s="111"/>
      <c r="L3" s="119"/>
      <c r="M3" s="111"/>
      <c r="N3" s="122"/>
      <c r="P3" s="122"/>
    </row>
    <row r="5" spans="3:16">
      <c r="C5" s="107"/>
      <c r="D5" s="107"/>
      <c r="E5" s="107"/>
      <c r="F5" s="107" t="s">
        <v>406</v>
      </c>
      <c r="G5" s="107"/>
      <c r="H5" s="132"/>
    </row>
    <row r="6" spans="3:16">
      <c r="C6" s="125" t="s">
        <v>68</v>
      </c>
      <c r="D6" s="117" t="s">
        <v>83</v>
      </c>
      <c r="E6" s="117" t="s">
        <v>443</v>
      </c>
      <c r="F6" s="117" t="s">
        <v>311</v>
      </c>
      <c r="G6" s="117" t="s">
        <v>312</v>
      </c>
      <c r="H6" s="132" t="s">
        <v>314</v>
      </c>
      <c r="I6" s="15"/>
      <c r="J6" s="15"/>
      <c r="K6" s="117" t="s">
        <v>315</v>
      </c>
      <c r="L6" s="120" t="s">
        <v>316</v>
      </c>
      <c r="M6" s="117" t="s">
        <v>317</v>
      </c>
      <c r="N6" s="120" t="s">
        <v>316</v>
      </c>
      <c r="O6" s="117" t="s">
        <v>318</v>
      </c>
      <c r="P6" s="120" t="s">
        <v>316</v>
      </c>
    </row>
    <row r="7" spans="3:16">
      <c r="C7" s="125" t="s">
        <v>149</v>
      </c>
      <c r="D7" s="235">
        <f>계산!I10</f>
        <v>517.31999999999994</v>
      </c>
      <c r="E7" s="15">
        <f>VLOOKUP(청솔누적!D7,청솔누적표!$A:$J,1,TRUE)</f>
        <v>516.29999999999995</v>
      </c>
      <c r="F7" s="123">
        <f>VLOOKUP(청솔누적!D7,청솔누적표!$A:$J,10,TRUE)</f>
        <v>2.5000000000000001E-2</v>
      </c>
      <c r="G7" s="127">
        <f>VLOOKUP(청솔누적!D7,청솔누적표!$A:$J,9,TRUE)</f>
        <v>2.5</v>
      </c>
      <c r="H7" s="15" t="str">
        <f ca="1">CONCATENATE(L7*100,"%~",N7*100,"%")</f>
        <v>2.4%~2.5%</v>
      </c>
      <c r="I7" s="15"/>
      <c r="J7" s="15"/>
      <c r="K7" s="15">
        <f ca="1">OFFSET(청솔누적표!$A$1,MATCH(E7,청솔누적표!A:A,0),0,1,1)</f>
        <v>517.4</v>
      </c>
      <c r="L7" s="128">
        <f ca="1">OFFSET(청솔누적표!A1,MATCH(E7,청솔누적표!A:A,0),9,1,1)</f>
        <v>2.4E-2</v>
      </c>
      <c r="M7" s="15">
        <f ca="1">OFFSET(청솔누적표!A1,MATCH(E7,청솔누적표!A:A,0)-1,0,1,1)</f>
        <v>516.29999999999995</v>
      </c>
      <c r="N7" s="128">
        <f ca="1">OFFSET(청솔누적표!A1,MATCH(E7,청솔누적표!A:A,0)-1,9,1,1)</f>
        <v>2.5000000000000001E-2</v>
      </c>
      <c r="O7" s="15">
        <f ca="1">OFFSET(청솔누적표!A1,MATCH(E7,청솔누적표!A:A,0)-2,0,1,1)</f>
        <v>515.4</v>
      </c>
      <c r="P7" s="128">
        <f ca="1">OFFSET(청솔누적표!A1,MATCH(E7,청솔누적표!A:A,0)-2,9,1,1)</f>
        <v>2.6000000000000002E-2</v>
      </c>
    </row>
    <row r="8" spans="3:16">
      <c r="C8" s="125" t="s">
        <v>370</v>
      </c>
      <c r="D8" s="235" t="e">
        <f>계산!I11</f>
        <v>#N/A</v>
      </c>
      <c r="E8" s="15" t="e">
        <f>VLOOKUP(청솔누적!$D$8,청솔누적표!$AB:$AD,1,TRUE)</f>
        <v>#N/A</v>
      </c>
      <c r="F8" s="123" t="e">
        <f>VLOOKUP(청솔누적!$D$8,청솔누적표!$AB:$AD,3,TRUE)</f>
        <v>#N/A</v>
      </c>
      <c r="G8" s="127" t="e">
        <f>VLOOKUP(청솔누적!$D$8,청솔누적표!$AB:$AD,2,TRUE)</f>
        <v>#N/A</v>
      </c>
      <c r="H8" s="15" t="e">
        <f t="shared" ref="H8:H23" ca="1" si="0">CONCATENATE(L8*100,"%~",N8*100,"%")</f>
        <v>#N/A</v>
      </c>
      <c r="I8" s="15" t="s">
        <v>371</v>
      </c>
      <c r="J8" s="15"/>
      <c r="K8" s="15" t="e">
        <f ca="1">OFFSET(청솔누적표!$AB$1,MATCH(E8,청솔누적표!$AB:$AB,0),0,1,1)</f>
        <v>#N/A</v>
      </c>
      <c r="L8" s="128" t="e">
        <f ca="1">OFFSET(청솔누적표!$AB$1,MATCH($E$8,청솔누적표!$AB:$AB,0),2,1,1)</f>
        <v>#N/A</v>
      </c>
      <c r="M8" s="15" t="e">
        <f ca="1">OFFSET(청솔누적표!$AB$1,MATCH($E$8,청솔누적표!$AB:$AB,0)-1,0,1,1)</f>
        <v>#N/A</v>
      </c>
      <c r="N8" s="128" t="e">
        <f ca="1">OFFSET(청솔누적표!$AB$1,MATCH($E$8,청솔누적표!$AB:$AB,0)-1,2,1,1)</f>
        <v>#N/A</v>
      </c>
      <c r="O8" s="15" t="e">
        <f ca="1">OFFSET(청솔누적표!$AB$1,MATCH($E$8,청솔누적표!$AB:$AB,0)-2,0,1,1)</f>
        <v>#N/A</v>
      </c>
      <c r="P8" s="128" t="e">
        <f ca="1">OFFSET(청솔누적표!$AB$1,MATCH($E$8,청솔누적표!$AB:$AB,0)-2,2,1,1)</f>
        <v>#N/A</v>
      </c>
    </row>
    <row r="9" spans="3:16">
      <c r="C9" s="125" t="s">
        <v>7</v>
      </c>
      <c r="D9" s="235">
        <f>계산!I12</f>
        <v>322.54750000000001</v>
      </c>
      <c r="E9" s="15">
        <f>VLOOKUP(청솔누적!D9,청솔누적표!$B:$J,1,TRUE)</f>
        <v>322.5</v>
      </c>
      <c r="F9" s="123">
        <f>VLOOKUP(청솔누적!D9,청솔누적표!$B:$J,9,TRUE)</f>
        <v>2.6000000000000002E-2</v>
      </c>
      <c r="G9" s="127">
        <f>VLOOKUP(청솔누적!D9,청솔누적표!$B:$J,8,TRUE)</f>
        <v>2.6</v>
      </c>
      <c r="H9" s="15" t="str">
        <f t="shared" ca="1" si="0"/>
        <v>2.5%~2.6%</v>
      </c>
      <c r="I9" s="15"/>
      <c r="J9" s="15"/>
      <c r="K9" s="15">
        <f ca="1">OFFSET(청솔누적표!$A$1,MATCH(E9,청솔누적표!B:B,0),1,1,1)</f>
        <v>323.2</v>
      </c>
      <c r="L9" s="128">
        <f ca="1">OFFSET(청솔누적표!$A$1,MATCH(E9,청솔누적표!B:B,0),9,1,1)</f>
        <v>2.5000000000000001E-2</v>
      </c>
      <c r="M9" s="15">
        <f ca="1">OFFSET(청솔누적표!$A$1,MATCH(E9,청솔누적표!B:B,0)-1,1,1,1)</f>
        <v>322.5</v>
      </c>
      <c r="N9" s="128">
        <f ca="1">OFFSET(청솔누적표!$A$1,MATCH(E9,청솔누적표!B:B,0)-1,9,1,1)</f>
        <v>2.6000000000000002E-2</v>
      </c>
      <c r="O9" s="15">
        <f ca="1">OFFSET(청솔누적표!$A$1,MATCH(E9,청솔누적표!B:B,0)-2,1,1,1)</f>
        <v>321.8</v>
      </c>
      <c r="P9" s="128">
        <f ca="1">OFFSET(청솔누적표!$A$1,MATCH(E9,청솔누적표!B:B,0)-2,9,1,1)</f>
        <v>2.7999999999999997E-2</v>
      </c>
    </row>
    <row r="10" spans="3:16" hidden="1">
      <c r="C10" s="125" t="s">
        <v>8</v>
      </c>
      <c r="D10" s="235">
        <f>계산!I14</f>
        <v>466.66087359518013</v>
      </c>
      <c r="E10" s="15">
        <f>VLOOKUP(청솔누적!D10,청솔누적표!$X:$Z,1,TRUE)</f>
        <v>466.6</v>
      </c>
      <c r="F10" s="123">
        <f>VLOOKUP(청솔누적!D10,청솔누적표!$X:$Z,3,TRUE)</f>
        <v>3.3700000000000001E-2</v>
      </c>
      <c r="G10" s="124">
        <f>VLOOKUP(청솔누적!D10,청솔누적표!$X:$Z,2,TRUE)</f>
        <v>5398</v>
      </c>
      <c r="H10" s="15" t="str">
        <f t="shared" ca="1" si="0"/>
        <v>3.31%~3.37%</v>
      </c>
      <c r="I10" s="15"/>
      <c r="J10" s="15"/>
      <c r="K10" s="15">
        <f ca="1">OFFSET(청솔누적표!$X$1,MATCH($E$10,청솔누적표!$X:$X,0),0,1,1)</f>
        <v>466.86</v>
      </c>
      <c r="L10" s="128">
        <f ca="1">OFFSET(청솔누적표!$X$1,MATCH($E$10,청솔누적표!$X:$X,0),2,1,1)</f>
        <v>3.3099999999999997E-2</v>
      </c>
      <c r="M10" s="15">
        <f ca="1">OFFSET(청솔누적표!$X$1,MATCH($E$10,청솔누적표!$X:$X,0)-1,0,1,1)</f>
        <v>466.6</v>
      </c>
      <c r="N10" s="128">
        <f ca="1">OFFSET(청솔누적표!$X$1,MATCH($E$10,청솔누적표!$X:$X,0)-1,2,1,1)</f>
        <v>3.3700000000000001E-2</v>
      </c>
      <c r="O10" s="15">
        <f ca="1">OFFSET(청솔누적표!$X$1,MATCH($E$10,청솔누적표!$X:$X,0)-2,0,1,1)</f>
        <v>466.4</v>
      </c>
      <c r="P10" s="128">
        <f ca="1">OFFSET(청솔누적표!$X$1,MATCH($E$10,청솔누적표!$X:$X,0)-2,2,1,1)</f>
        <v>3.4299999999999997E-2</v>
      </c>
    </row>
    <row r="11" spans="3:16">
      <c r="C11" s="125" t="s">
        <v>17</v>
      </c>
      <c r="D11" s="235">
        <f>계산!I15</f>
        <v>471.6462433831486</v>
      </c>
      <c r="E11" s="15">
        <f>VLOOKUP(청솔누적!D11,청솔누적표!$C:$J,1,TRUE)</f>
        <v>471.3</v>
      </c>
      <c r="F11" s="123">
        <f>VLOOKUP(청솔누적!D11,청솔누적표!$C:$J,8,TRUE)</f>
        <v>2.6000000000000002E-2</v>
      </c>
      <c r="G11" s="127">
        <f>VLOOKUP(청솔누적!D11,청솔누적표!$C:$J,7,TRUE)</f>
        <v>2.6</v>
      </c>
      <c r="H11" s="15" t="str">
        <f t="shared" ca="1" si="0"/>
        <v>2.5%~2.6%</v>
      </c>
      <c r="I11" s="15"/>
      <c r="J11" s="15"/>
      <c r="K11" s="15">
        <f ca="1">OFFSET(청솔누적표!$A$1,MATCH(E11,청솔누적표!C:C,0),2,1,1)</f>
        <v>472.5</v>
      </c>
      <c r="L11" s="128">
        <f ca="1">OFFSET(청솔누적표!$A$1,MATCH(E11,청솔누적표!C:C,0),9,1,1)</f>
        <v>2.5000000000000001E-2</v>
      </c>
      <c r="M11" s="15">
        <f ca="1">OFFSET(청솔누적표!$A$1,MATCH(E11,청솔누적표!C:C,0)-1,2,1,1)</f>
        <v>471.3</v>
      </c>
      <c r="N11" s="128">
        <f ca="1">OFFSET(청솔누적표!$A$1,MATCH(E11,청솔누적표!C:C,0)-1,9,1,1)</f>
        <v>2.6000000000000002E-2</v>
      </c>
      <c r="O11" s="15">
        <f ca="1">OFFSET(청솔누적표!$A$1,MATCH(E11,청솔누적표!C:C,0)-2,2,1,1)</f>
        <v>470.5</v>
      </c>
      <c r="P11" s="128">
        <f ca="1">OFFSET(청솔누적표!$A$1,MATCH(E11,청솔누적표!C:C,0)-2,9,1,1)</f>
        <v>2.7999999999999997E-2</v>
      </c>
    </row>
    <row r="12" spans="3:16">
      <c r="C12" s="125" t="s">
        <v>18</v>
      </c>
      <c r="D12" s="235">
        <f>계산!I16</f>
        <v>513.88400000000001</v>
      </c>
      <c r="E12" s="15">
        <f>VLOOKUP(청솔누적!D12,청솔누적표!$E:$J,1,TRUE)</f>
        <v>513.29999999999995</v>
      </c>
      <c r="F12" s="123">
        <f>VLOOKUP(청솔누적!D12,청솔누적표!$E:$J,6,TRUE)</f>
        <v>0.03</v>
      </c>
      <c r="G12" s="127">
        <f>VLOOKUP(청솔누적!D12,청솔누적표!$E:$J,5,TRUE)</f>
        <v>3</v>
      </c>
      <c r="H12" s="15" t="str">
        <f t="shared" ca="1" si="0"/>
        <v>2.8%~3%</v>
      </c>
      <c r="I12" s="15"/>
      <c r="J12" s="15"/>
      <c r="K12" s="15">
        <f ca="1">OFFSET(청솔누적표!$A$1,MATCH(E12,청솔누적표!E:E,0),4,1,1)</f>
        <v>514.20000000000005</v>
      </c>
      <c r="L12" s="128">
        <f ca="1">OFFSET(청솔누적표!$A$1,MATCH(E12,청솔누적표!E:E,0),9,1,1)</f>
        <v>2.7999999999999997E-2</v>
      </c>
      <c r="M12" s="15">
        <f ca="1">OFFSET(청솔누적표!$A$1,MATCH(E12,청솔누적표!E:E,0)-1,4,1,1)</f>
        <v>513.29999999999995</v>
      </c>
      <c r="N12" s="128">
        <f ca="1">OFFSET(청솔누적표!$A$1,MATCH(E12,청솔누적표!E:E,0)-1,9,1,1)</f>
        <v>0.03</v>
      </c>
      <c r="O12" s="15">
        <f ca="1">OFFSET(청솔누적표!$A$1,MATCH(E12,청솔누적표!E:E,0)-2,4,1,1)</f>
        <v>512.6</v>
      </c>
      <c r="P12" s="128">
        <f ca="1">OFFSET(청솔누적표!$A$1,MATCH(E12,청솔누적표!E:E,0)-2,9,1,1)</f>
        <v>3.2000000000000001E-2</v>
      </c>
    </row>
    <row r="13" spans="3:16" hidden="1">
      <c r="C13" s="125" t="s">
        <v>19</v>
      </c>
      <c r="D13" s="235">
        <f>계산!I17</f>
        <v>262.93</v>
      </c>
      <c r="E13" s="129">
        <f>VLOOKUP(청솔누적!$D$13,청솔누적표!$L:$N,1,TRUE)</f>
        <v>262.72000000000003</v>
      </c>
      <c r="F13" s="130">
        <f>VLOOKUP(청솔누적!$D$13,청솔누적표!$L:$N,3,TRUE)</f>
        <v>0.02</v>
      </c>
      <c r="G13" s="124">
        <f>VLOOKUP(청솔누적!$D$13,청솔누적표!$L:$N,2,TRUE)</f>
        <v>3200</v>
      </c>
      <c r="H13" s="15" t="str">
        <f t="shared" ca="1" si="0"/>
        <v>1.93%~1.93%</v>
      </c>
      <c r="I13" s="15"/>
      <c r="J13" s="15"/>
      <c r="K13" s="15">
        <f ca="1">OFFSET(청솔누적표!$L$1,MATCH($E$13,청솔누적표!$L:$L,0),0,1,1)</f>
        <v>263.19</v>
      </c>
      <c r="L13" s="128">
        <f ca="1">OFFSET(청솔누적표!$L$1,MATCH($E$13,청솔누적표!$L:$L,0),2,1,1)</f>
        <v>1.9300000000000001E-2</v>
      </c>
      <c r="M13" s="15">
        <f ca="1">OFFSET(청솔누적표!$L$1,MATCH($E$13,청솔누적표!$L:$L,0)-1,0,1,1)</f>
        <v>262.72000000000003</v>
      </c>
      <c r="N13" s="128">
        <f ca="1">OFFSET(청솔누적표!$L$1,MATCH($E$13,청솔누적표!$L:$L,0),2,1,1)</f>
        <v>1.9300000000000001E-2</v>
      </c>
      <c r="O13" s="15">
        <f ca="1">OFFSET(청솔누적표!$L$1,MATCH($E$13,청솔누적표!$L:$L,0)-2,0,1,1)</f>
        <v>262.58999999999997</v>
      </c>
      <c r="P13" s="128">
        <f ca="1">OFFSET(청솔누적표!$L$1,MATCH($E$13,청솔누적표!$L:$L,0),2,1,1)</f>
        <v>1.9300000000000001E-2</v>
      </c>
    </row>
    <row r="14" spans="3:16">
      <c r="C14" s="125" t="s">
        <v>21</v>
      </c>
      <c r="D14" s="235">
        <f>계산!I18</f>
        <v>453.87649999999996</v>
      </c>
      <c r="E14" s="15">
        <f>VLOOKUP(청솔누적!$D$14,청솔누적표!$G:$J,1,TRUE)</f>
        <v>453</v>
      </c>
      <c r="F14" s="130">
        <f>VLOOKUP(청솔누적!$D$14,청솔누적표!$G:$J,4,TRUE)</f>
        <v>2.7999999999999997E-2</v>
      </c>
      <c r="G14" s="15">
        <f>VLOOKUP(청솔누적!$D$14,청솔누적표!$G:$J,3,TRUE)</f>
        <v>2.8</v>
      </c>
      <c r="H14" s="15" t="str">
        <f t="shared" ca="1" si="0"/>
        <v>2.6%~2.8%</v>
      </c>
      <c r="I14" s="15"/>
      <c r="J14" s="15"/>
      <c r="K14" s="15">
        <f ca="1">OFFSET(청솔누적표!$A$1,MATCH(E14,청솔누적표!G:G,0),6,1,1)</f>
        <v>454</v>
      </c>
      <c r="L14" s="128">
        <f ca="1">OFFSET(청솔누적표!$A$1,MATCH(E14,청솔누적표!G:G,0),9,1,1)</f>
        <v>2.6000000000000002E-2</v>
      </c>
      <c r="M14" s="15">
        <f ca="1">OFFSET(청솔누적표!$A$1,MATCH(E14,청솔누적표!G:G,0)-1,6,1,1)</f>
        <v>453</v>
      </c>
      <c r="N14" s="128">
        <f ca="1">OFFSET(청솔누적표!$A$1,MATCH(E14,청솔누적표!G:G,0)-1,9,1,1)</f>
        <v>2.7999999999999997E-2</v>
      </c>
      <c r="O14" s="15">
        <f ca="1">OFFSET(청솔누적표!$A$1,MATCH(E14,청솔누적표!G:G,0)-2,4,1,1)</f>
        <v>513.29999999999995</v>
      </c>
      <c r="P14" s="128">
        <f ca="1">OFFSET(청솔누적표!$A$1,MATCH(E14,청솔누적표!G:G,0)-2,9,1,1)</f>
        <v>0.03</v>
      </c>
    </row>
    <row r="15" spans="3:16">
      <c r="C15" s="125" t="s">
        <v>22</v>
      </c>
      <c r="D15" s="235">
        <f>계산!I19</f>
        <v>656.51131458512555</v>
      </c>
      <c r="E15" s="15">
        <f>VLOOKUP(청솔누적!D15,청솔누적표!$H:$J,1,TRUE)</f>
        <v>655.75999999999988</v>
      </c>
      <c r="F15" s="123">
        <f>VLOOKUP(청솔누적!D15,청솔누적표!$H:$J,3,TRUE)</f>
        <v>0.03</v>
      </c>
      <c r="G15" s="127">
        <f>VLOOKUP(청솔누적!D15,청솔누적표!$H:$J,2,TRUE)</f>
        <v>3</v>
      </c>
      <c r="H15" s="15" t="str">
        <f t="shared" ca="1" si="0"/>
        <v>2.8%~3%</v>
      </c>
      <c r="I15" s="15"/>
      <c r="J15" s="15"/>
      <c r="K15" s="15">
        <f ca="1">OFFSET(청솔누적표!$A$1,MATCH(E15,청솔누적표!H:H,0),7,1,1)</f>
        <v>657.3</v>
      </c>
      <c r="L15" s="128">
        <f ca="1">OFFSET(청솔누적표!$A$1,MATCH(E15,청솔누적표!H:H,0),9,1,1)</f>
        <v>2.7999999999999997E-2</v>
      </c>
      <c r="M15" s="15">
        <f ca="1">OFFSET(청솔누적표!$A$1,MATCH(E15,청솔누적표!H:H,0)-1,7,1,1)</f>
        <v>655.75999999999988</v>
      </c>
      <c r="N15" s="128">
        <f ca="1">OFFSET(청솔누적표!$A$1,MATCH(E15,청솔누적표!H:H,0)-1,9,1,1)</f>
        <v>0.03</v>
      </c>
      <c r="O15" s="15">
        <f ca="1">OFFSET(청솔누적표!$A$1,MATCH(E15,청솔누적표!H:H,0)-2,7,1,1)</f>
        <v>654.64</v>
      </c>
      <c r="P15" s="128">
        <f ca="1">OFFSET(청솔누적표!$A$1,MATCH(E15,청솔누적표!H:H,0)-2,9,1,1)</f>
        <v>3.2000000000000001E-2</v>
      </c>
    </row>
    <row r="16" spans="3:16">
      <c r="C16" s="125" t="s">
        <v>148</v>
      </c>
      <c r="D16" s="236">
        <f>계산!I26</f>
        <v>564.27710183053819</v>
      </c>
      <c r="E16" s="15">
        <f>VLOOKUP(D16,청솔누적표!AT:AX,1,TRUE)</f>
        <v>564</v>
      </c>
      <c r="F16" s="123">
        <f>VLOOKUP(D16,청솔누적표!AT:AX,5,TRUE)</f>
        <v>2.5000000000000001E-2</v>
      </c>
      <c r="G16" s="15"/>
      <c r="H16" s="15" t="str">
        <f t="shared" ca="1" si="0"/>
        <v>2.4%~2.5%</v>
      </c>
      <c r="K16" s="129">
        <f ca="1">OFFSET(청솔누적표!AI1,MATCH(E16,청솔누적표!AT:AT,0),11,1,1)</f>
        <v>565.4</v>
      </c>
      <c r="L16" s="128">
        <f ca="1">VLOOKUP(K16,청솔누적표!$AT:$AX,5,FALSE)</f>
        <v>2.4E-2</v>
      </c>
      <c r="M16" s="15">
        <f ca="1">OFFSET(청솔누적표!AI1,MATCH(E16,청솔누적표!AT:AT,0)-1,11,1,1)</f>
        <v>564</v>
      </c>
      <c r="N16" s="128">
        <f ca="1">VLOOKUP(M16,청솔누적표!$AT:$AX,5,FALSE)</f>
        <v>2.5000000000000001E-2</v>
      </c>
      <c r="O16" s="15">
        <f ca="1">OFFSET(청솔누적표!AI1,MATCH(E16,청솔누적표!AT:AT,0)-2,11,1,1)</f>
        <v>562.9</v>
      </c>
      <c r="P16" s="128">
        <f ca="1">VLOOKUP(O16,청솔누적표!$AT:$AX,5,FALSE)</f>
        <v>2.6000000000000002E-2</v>
      </c>
    </row>
    <row r="17" spans="3:16">
      <c r="C17" s="125" t="s">
        <v>146</v>
      </c>
      <c r="D17" s="236">
        <f>계산!I20/0.7</f>
        <v>943.72570506950706</v>
      </c>
      <c r="E17" s="15">
        <f>VLOOKUP(D17,청솔누적표!AY:AZ,1,TRUE)</f>
        <v>943.3</v>
      </c>
      <c r="F17" s="123">
        <f>VLOOKUP(E17,청솔누적표!AY:AZ,2,TRUE)</f>
        <v>2.6000000000000002E-2</v>
      </c>
      <c r="G17" s="15"/>
      <c r="H17" s="15" t="str">
        <f t="shared" ca="1" si="0"/>
        <v>2.5%~2.6%</v>
      </c>
      <c r="K17" s="129">
        <f ca="1">OFFSET(청솔누적표!AY1,MATCH(E17,청솔누적표!AY:AY,0),0,1,1)</f>
        <v>945.3</v>
      </c>
      <c r="L17" s="128">
        <f ca="1">VLOOKUP(K17,청솔누적표!AY:AZ,2,TRUE)</f>
        <v>2.5000000000000001E-2</v>
      </c>
      <c r="M17" s="15">
        <f>E17</f>
        <v>943.3</v>
      </c>
      <c r="N17" s="128">
        <f>F17</f>
        <v>2.6000000000000002E-2</v>
      </c>
      <c r="O17" s="15"/>
      <c r="P17" s="128"/>
    </row>
    <row r="18" spans="3:16">
      <c r="C18" s="125" t="s">
        <v>147</v>
      </c>
      <c r="D18" s="236">
        <f>계산!I21</f>
        <v>452.13</v>
      </c>
      <c r="E18" s="129">
        <f>VLOOKUP(D18,청솔누적표!AN:AX,1,TRUE)</f>
        <v>451.5</v>
      </c>
      <c r="F18" s="130">
        <f>VLOOKUP(D18,청솔누적표!AN:AX,11,TRUE)</f>
        <v>2.5000000000000001E-2</v>
      </c>
      <c r="G18" s="15"/>
      <c r="H18" s="15" t="str">
        <f t="shared" ca="1" si="0"/>
        <v>2.4%~2.5%</v>
      </c>
      <c r="K18" s="129">
        <f ca="1">OFFSET(청솔누적표!AI1,MATCH(E18,청솔누적표!AN:AN,0),5,1,1)</f>
        <v>452.5</v>
      </c>
      <c r="L18" s="128">
        <f ca="1">VLOOKUP(K18,청솔누적표!$AN:$AX,11,TRUE)</f>
        <v>2.4E-2</v>
      </c>
      <c r="M18" s="15">
        <f ca="1">OFFSET(청솔누적표!AI1,MATCH(E18,청솔누적표!AN:AN,0)-1,5,1,1)</f>
        <v>451.5</v>
      </c>
      <c r="N18" s="128">
        <f ca="1">VLOOKUP(M18,청솔누적표!$AN:$AX,11,TRUE)</f>
        <v>2.5000000000000001E-2</v>
      </c>
      <c r="O18" s="15">
        <f ca="1">OFFSET(청솔누적표!AI1,MATCH(E18,청솔누적표!AN:AN,0)-2,5,1,1)</f>
        <v>450.5</v>
      </c>
      <c r="P18" s="128">
        <f ca="1">VLOOKUP(O18,청솔누적표!$AN:$AX,11,TRUE)</f>
        <v>2.6000000000000002E-2</v>
      </c>
    </row>
    <row r="19" spans="3:16">
      <c r="C19" s="125" t="str">
        <f>점수입력!K20</f>
        <v>시립대일반</v>
      </c>
      <c r="D19" s="236">
        <f>계산!I24</f>
        <v>660.56660621560877</v>
      </c>
      <c r="E19" s="129">
        <f>VLOOKUP(D19,청솔누적표!AR:AX,1,TRUE)</f>
        <v>659.6</v>
      </c>
      <c r="F19" s="130">
        <f>VLOOKUP(D19,청솔누적표!AR:AX,7,TRUE)</f>
        <v>2.5000000000000001E-2</v>
      </c>
      <c r="G19" s="15"/>
      <c r="H19" s="15" t="str">
        <f t="shared" ca="1" si="0"/>
        <v>2.4%~2.5%</v>
      </c>
      <c r="K19" s="129">
        <f ca="1">OFFSET(청솔누적표!AI1,MATCH(E19,청솔누적표!AR:AR,0),9,1,1)</f>
        <v>661</v>
      </c>
      <c r="L19" s="128">
        <f ca="1">VLOOKUP(K19,청솔누적표!$AR:$AX,7,TRUE)</f>
        <v>2.4E-2</v>
      </c>
      <c r="M19" s="15">
        <f ca="1">OFFSET(청솔누적표!AI1,MATCH(E19,청솔누적표!AR:AR,0)-1,9,1,1)</f>
        <v>659.6</v>
      </c>
      <c r="N19" s="128">
        <f ca="1">VLOOKUP(M19,청솔누적표!$AR:$AX,7,TRUE)</f>
        <v>2.5000000000000001E-2</v>
      </c>
      <c r="O19" s="15">
        <f ca="1">OFFSET(청솔누적표!AI1,MATCH(E19,청솔누적표!AR:AR,0)-2,9,1,1)</f>
        <v>658.1</v>
      </c>
      <c r="P19" s="128">
        <f ca="1">VLOOKUP(O19,청솔누적표!$AR:$AX,7,TRUE)</f>
        <v>2.6000000000000002E-2</v>
      </c>
    </row>
    <row r="20" spans="3:16">
      <c r="C20" s="125" t="str">
        <f>점수입력!F23</f>
        <v>건국대</v>
      </c>
      <c r="D20" s="236">
        <f>계산!I37/0.7</f>
        <v>642.22000000000014</v>
      </c>
      <c r="E20" s="15">
        <f>VLOOKUP(D20,청솔누적표!AL:AX,1,TRUE)</f>
        <v>641</v>
      </c>
      <c r="F20" s="130">
        <f>VLOOKUP(D20,청솔누적표!AL:AX,13,TRUE)</f>
        <v>2.7999999999999997E-2</v>
      </c>
      <c r="G20" s="15"/>
      <c r="H20" s="15" t="str">
        <f t="shared" si="0"/>
        <v>0%~0%</v>
      </c>
      <c r="K20" s="129" t="e">
        <f ca="1">OFFSET(청솔누적표!AI1,MATCH(E20,청솔누적표!AT:AT,0),9,1,1)</f>
        <v>#N/A</v>
      </c>
      <c r="L20" s="128"/>
      <c r="M20" s="15" t="e">
        <f ca="1">OFFSET(청솔누적표!AI5,MATCH(E20,청솔누적표!AT:AT,0)-1,11,1,1)</f>
        <v>#N/A</v>
      </c>
      <c r="N20" s="128"/>
      <c r="O20" s="15" t="e">
        <f ca="1">OFFSET(청솔누적표!AI5,MATCH(E20,청솔누적표!AT:AT,0)-2,11,1,1)</f>
        <v>#N/A</v>
      </c>
      <c r="P20" s="128"/>
    </row>
    <row r="21" spans="3:16">
      <c r="C21" s="125" t="str">
        <f>점수입력!F24</f>
        <v>동국대</v>
      </c>
      <c r="D21" s="236">
        <f>계산!I38/0.7</f>
        <v>642.23000000000013</v>
      </c>
      <c r="E21" s="181">
        <f>VLOOKUP(D21,청솔누적표!AP:AX,1,TRUE)</f>
        <v>641.70000000000005</v>
      </c>
      <c r="F21" s="130">
        <f>VLOOKUP(D21,청솔누적표!AP:AX,9,TRUE)</f>
        <v>2.7999999999999997E-2</v>
      </c>
      <c r="G21" s="15"/>
      <c r="H21" s="15" t="str">
        <f t="shared" si="0"/>
        <v>0%~0%</v>
      </c>
      <c r="K21" s="129" t="e">
        <f ca="1">OFFSET(청솔누적표!AI6,MATCH(E21,청솔누적표!AT:AT,0),11,1,1)</f>
        <v>#N/A</v>
      </c>
      <c r="L21" s="128"/>
      <c r="M21" s="15" t="e">
        <f ca="1">OFFSET(청솔누적표!AI6,MATCH(E21,청솔누적표!AT:AT,0)-1,11,1,1)</f>
        <v>#N/A</v>
      </c>
      <c r="N21" s="128"/>
      <c r="O21" s="15" t="e">
        <f ca="1">OFFSET(청솔누적표!AI6,MATCH(E21,청솔누적표!AT:AT,0)-2,11,1,1)</f>
        <v>#N/A</v>
      </c>
      <c r="P21" s="128"/>
    </row>
    <row r="22" spans="3:16">
      <c r="C22" s="125" t="str">
        <f>점수입력!F21</f>
        <v>인하대</v>
      </c>
      <c r="D22" s="236">
        <f>계산!I35</f>
        <v>481.74437499999999</v>
      </c>
      <c r="E22" s="181">
        <f>VLOOKUP(D22,청솔누적표!AU:AX,1,TRUE)</f>
        <v>481.5</v>
      </c>
      <c r="F22" s="130">
        <f>VLOOKUP(D22,청솔누적표!AU:AX,4,TRUE)</f>
        <v>2.6000000000000002E-2</v>
      </c>
      <c r="G22" s="15"/>
      <c r="H22" s="15" t="str">
        <f t="shared" si="0"/>
        <v>0%~0%</v>
      </c>
      <c r="K22" s="129" t="e">
        <f ca="1">OFFSET(청솔누적표!AI7,MATCH(E22,청솔누적표!AT:AT,0),11,1,1)</f>
        <v>#N/A</v>
      </c>
      <c r="L22" s="128"/>
      <c r="M22" s="15" t="e">
        <f ca="1">OFFSET(청솔누적표!AI7,MATCH(E22,청솔누적표!AT:AT,0)-1,11,1,1)</f>
        <v>#N/A</v>
      </c>
      <c r="N22" s="128"/>
      <c r="O22" s="15" t="e">
        <f ca="1">OFFSET(청솔누적표!AI7,MATCH(E22,청솔누적표!AT:AT,0)-2,11,1,1)</f>
        <v>#N/A</v>
      </c>
      <c r="P22" s="128"/>
    </row>
    <row r="23" spans="3:16">
      <c r="C23" s="125" t="s">
        <v>522</v>
      </c>
      <c r="D23" s="129">
        <f>계산!I13</f>
        <v>321.43928571428575</v>
      </c>
      <c r="E23" s="129">
        <f>VLOOKUP(D23,청솔누적표!BB:BC,1,TRUE)</f>
        <v>321.39999999999998</v>
      </c>
      <c r="F23" s="130">
        <f>VLOOKUP(D23,청솔누적표!BB:BC,2,TRUE)</f>
        <v>3.7000000000000005E-2</v>
      </c>
      <c r="G23" s="15"/>
      <c r="H23" s="15" t="str">
        <f t="shared" ca="1" si="0"/>
        <v>3.5%~3.7%</v>
      </c>
      <c r="K23" s="129">
        <f ca="1">OFFSET(청솔누적표!BB1,MATCH(E23,청솔누적표!BB:BB,0),0,1,1)</f>
        <v>322.10000000000002</v>
      </c>
      <c r="L23" s="128">
        <f ca="1">VLOOKUP(K23,청솔누적표!BB:BC,2,TRUE)</f>
        <v>3.5000000000000003E-2</v>
      </c>
      <c r="M23" s="129">
        <f>E23</f>
        <v>321.39999999999998</v>
      </c>
      <c r="N23" s="128">
        <f>VLOOKUP(M23,청솔누적표!BB:BC,2,TRUE)</f>
        <v>3.7000000000000005E-2</v>
      </c>
      <c r="O23" s="15">
        <f ca="1">OFFSET(청솔누적표!BB1,MATCH(E23,청솔누적표!BB:BB,0)-2,0,1,1)</f>
        <v>320.89999999999998</v>
      </c>
      <c r="P23" s="128">
        <f ca="1">VLOOKUP(O23,청솔누적표!BB:BC,2,TRUE)</f>
        <v>0.04</v>
      </c>
    </row>
    <row r="24" spans="3:16">
      <c r="C24" s="125"/>
    </row>
    <row r="25" spans="3:16">
      <c r="C25" s="125"/>
    </row>
    <row r="26" spans="3:16">
      <c r="C26" s="125"/>
    </row>
  </sheetData>
  <sheetProtection algorithmName="SHA-512" hashValue="PGR6MyzwMvhG/nPd2GK8OpnI1ja6JD0k32SXiMMvlEuuSzeMMCcc586CfCIpMgA8p+josgjZjvD2HoXY2RsQ8Q==" saltValue="8cuQy2DXUI6HXCG2Ntwu9A==" spinCount="100000" sheet="1" objects="1" scenarios="1" selectLockedCells="1" selectUnlockedCells="1"/>
  <phoneticPr fontId="1" type="noConversion"/>
  <pageMargins left="0.7" right="0.7" top="0.75" bottom="0.75" header="0.3" footer="0.3"/>
  <pageSetup paperSize="9" orientation="portrait" horizontalDpi="4294967292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L102"/>
  <sheetViews>
    <sheetView topLeftCell="U1" workbookViewId="0">
      <selection sqref="A1:XFD1048576"/>
    </sheetView>
  </sheetViews>
  <sheetFormatPr defaultRowHeight="16.5"/>
  <cols>
    <col min="1" max="10" width="9" style="116"/>
    <col min="11" max="15" width="9" style="25"/>
    <col min="16" max="18" width="9" style="116"/>
    <col min="19" max="19" width="9" style="25"/>
    <col min="20" max="22" width="9" style="116"/>
    <col min="23" max="23" width="9" style="25" customWidth="1"/>
    <col min="24" max="26" width="9" style="116"/>
    <col min="27" max="16384" width="9" style="25"/>
  </cols>
  <sheetData>
    <row r="1" spans="1:38" ht="23.25" thickBot="1">
      <c r="A1" s="51" t="s">
        <v>41</v>
      </c>
      <c r="B1" s="51" t="s">
        <v>42</v>
      </c>
      <c r="C1" s="51" t="s">
        <v>89</v>
      </c>
      <c r="D1" s="51" t="s">
        <v>90</v>
      </c>
      <c r="E1" s="51" t="s">
        <v>45</v>
      </c>
      <c r="F1" s="51" t="s">
        <v>91</v>
      </c>
      <c r="G1" s="51" t="s">
        <v>92</v>
      </c>
      <c r="H1" s="51" t="s">
        <v>48</v>
      </c>
      <c r="I1" s="51" t="s">
        <v>87</v>
      </c>
      <c r="J1" s="51" t="s">
        <v>88</v>
      </c>
      <c r="L1" s="51" t="s">
        <v>91</v>
      </c>
      <c r="M1" s="51" t="s">
        <v>87</v>
      </c>
      <c r="N1" s="51" t="s">
        <v>88</v>
      </c>
      <c r="P1" s="51" t="s">
        <v>309</v>
      </c>
      <c r="Q1" s="51" t="s">
        <v>87</v>
      </c>
      <c r="R1" s="51" t="s">
        <v>88</v>
      </c>
      <c r="T1" s="51" t="s">
        <v>310</v>
      </c>
      <c r="U1" s="51" t="s">
        <v>87</v>
      </c>
      <c r="V1" s="51" t="s">
        <v>88</v>
      </c>
      <c r="X1" s="51" t="s">
        <v>90</v>
      </c>
      <c r="Y1" s="51" t="s">
        <v>87</v>
      </c>
      <c r="Z1" s="51" t="s">
        <v>88</v>
      </c>
      <c r="AB1" s="51" t="s">
        <v>41</v>
      </c>
      <c r="AC1" s="51" t="s">
        <v>87</v>
      </c>
      <c r="AD1" s="51" t="s">
        <v>390</v>
      </c>
      <c r="AF1" s="51" t="s">
        <v>49</v>
      </c>
      <c r="AG1" s="51" t="s">
        <v>87</v>
      </c>
      <c r="AH1" s="51" t="s">
        <v>88</v>
      </c>
      <c r="AJ1" s="51" t="s">
        <v>543</v>
      </c>
      <c r="AK1" s="51" t="s">
        <v>87</v>
      </c>
      <c r="AL1" s="51" t="s">
        <v>390</v>
      </c>
    </row>
    <row r="2" spans="1:38" ht="17.25" thickBot="1">
      <c r="A2" s="54">
        <v>509.67</v>
      </c>
      <c r="B2" s="54">
        <v>319.01</v>
      </c>
      <c r="C2" s="54">
        <v>466.45</v>
      </c>
      <c r="D2" s="54">
        <v>463.63</v>
      </c>
      <c r="E2" s="54">
        <v>509.98</v>
      </c>
      <c r="F2" s="54">
        <v>259.35000000000002</v>
      </c>
      <c r="G2" s="54">
        <v>448.89</v>
      </c>
      <c r="H2" s="54">
        <v>651.66</v>
      </c>
      <c r="I2" s="55">
        <v>6698</v>
      </c>
      <c r="J2" s="53">
        <v>4.1799999999999997E-2</v>
      </c>
      <c r="L2" s="54">
        <v>259.35000000000002</v>
      </c>
      <c r="M2" s="55">
        <v>6698</v>
      </c>
      <c r="N2" s="53">
        <v>4.1799999999999997E-2</v>
      </c>
      <c r="P2" s="54">
        <v>510</v>
      </c>
      <c r="Q2" s="55">
        <v>6698</v>
      </c>
      <c r="R2" s="53">
        <v>4.1799999999999997E-2</v>
      </c>
      <c r="T2" s="54">
        <v>472</v>
      </c>
      <c r="U2" s="55">
        <v>6698</v>
      </c>
      <c r="V2" s="53">
        <v>4.1799999999999997E-2</v>
      </c>
      <c r="X2" s="54">
        <v>463.63</v>
      </c>
      <c r="Y2" s="55">
        <v>6698</v>
      </c>
      <c r="Z2" s="53">
        <v>4.1799999999999997E-2</v>
      </c>
      <c r="AB2" s="54">
        <v>512.61</v>
      </c>
      <c r="AC2" s="55">
        <v>13400</v>
      </c>
      <c r="AD2" s="53">
        <v>3.9699999999999999E-2</v>
      </c>
      <c r="AF2" s="54">
        <v>653.29999999999995</v>
      </c>
      <c r="AG2" s="55">
        <v>6698</v>
      </c>
      <c r="AH2" s="53">
        <v>4.1799999999999997E-2</v>
      </c>
      <c r="AJ2" s="54">
        <v>323.13</v>
      </c>
      <c r="AK2" s="55">
        <v>13400</v>
      </c>
      <c r="AL2" s="53">
        <v>3.9699999999999999E-2</v>
      </c>
    </row>
    <row r="3" spans="1:38" ht="17.25" thickBot="1">
      <c r="A3" s="54">
        <v>509.91</v>
      </c>
      <c r="B3" s="54">
        <v>319.18</v>
      </c>
      <c r="C3" s="54">
        <v>466.73</v>
      </c>
      <c r="D3" s="54">
        <v>463.85</v>
      </c>
      <c r="E3" s="54">
        <v>510.25</v>
      </c>
      <c r="F3" s="54">
        <v>259.5</v>
      </c>
      <c r="G3" s="54">
        <v>449.15</v>
      </c>
      <c r="H3" s="54">
        <v>652.02</v>
      </c>
      <c r="I3" s="55">
        <v>6597</v>
      </c>
      <c r="J3" s="53">
        <v>4.1200000000000001E-2</v>
      </c>
      <c r="L3" s="54">
        <v>259.5</v>
      </c>
      <c r="M3" s="55">
        <v>6597</v>
      </c>
      <c r="N3" s="53">
        <v>4.1200000000000001E-2</v>
      </c>
      <c r="P3" s="56">
        <v>511</v>
      </c>
      <c r="Q3" s="58">
        <v>6397</v>
      </c>
      <c r="R3" s="62">
        <v>3.9899999999999998E-2</v>
      </c>
      <c r="T3" s="54">
        <v>472.5</v>
      </c>
      <c r="U3" s="55">
        <v>6597</v>
      </c>
      <c r="V3" s="53">
        <v>4.1200000000000001E-2</v>
      </c>
      <c r="X3" s="54">
        <v>463.85</v>
      </c>
      <c r="Y3" s="55">
        <v>6597</v>
      </c>
      <c r="Z3" s="53">
        <v>4.1200000000000001E-2</v>
      </c>
      <c r="AB3" s="54">
        <v>512.83000000000004</v>
      </c>
      <c r="AC3" s="55">
        <v>13190</v>
      </c>
      <c r="AD3" s="53">
        <v>3.9100000000000003E-2</v>
      </c>
      <c r="AF3" s="54">
        <v>653.53</v>
      </c>
      <c r="AG3" s="55">
        <v>6597</v>
      </c>
      <c r="AH3" s="53">
        <v>4.1200000000000001E-2</v>
      </c>
      <c r="AJ3" s="54">
        <v>323.20999999999998</v>
      </c>
      <c r="AK3" s="55">
        <v>13190</v>
      </c>
      <c r="AL3" s="53">
        <v>3.9100000000000003E-2</v>
      </c>
    </row>
    <row r="4" spans="1:38" ht="17.25" thickBot="1">
      <c r="A4" s="54">
        <v>510.23</v>
      </c>
      <c r="B4" s="54">
        <v>319.24</v>
      </c>
      <c r="C4" s="54">
        <v>466.81</v>
      </c>
      <c r="D4" s="54">
        <v>464.11</v>
      </c>
      <c r="E4" s="54">
        <v>510.57</v>
      </c>
      <c r="F4" s="54">
        <v>259.64999999999998</v>
      </c>
      <c r="G4" s="54">
        <v>449.23</v>
      </c>
      <c r="H4" s="54">
        <v>652.28</v>
      </c>
      <c r="I4" s="55">
        <v>6500</v>
      </c>
      <c r="J4" s="53">
        <v>4.0599999999999997E-2</v>
      </c>
      <c r="L4" s="54">
        <v>259.64999999999998</v>
      </c>
      <c r="M4" s="55">
        <v>6500</v>
      </c>
      <c r="N4" s="53">
        <v>4.0599999999999997E-2</v>
      </c>
      <c r="P4" s="54">
        <v>512</v>
      </c>
      <c r="Q4" s="55">
        <v>5897</v>
      </c>
      <c r="R4" s="53">
        <v>3.6799999999999999E-2</v>
      </c>
      <c r="T4" s="56">
        <v>473</v>
      </c>
      <c r="U4" s="58">
        <v>6397</v>
      </c>
      <c r="V4" s="62">
        <v>3.9899999999999998E-2</v>
      </c>
      <c r="X4" s="54">
        <v>464.11</v>
      </c>
      <c r="Y4" s="55">
        <v>6500</v>
      </c>
      <c r="Z4" s="53">
        <v>4.0599999999999997E-2</v>
      </c>
      <c r="AB4" s="54">
        <v>513</v>
      </c>
      <c r="AC4" s="55">
        <v>12996</v>
      </c>
      <c r="AD4" s="53">
        <v>3.85E-2</v>
      </c>
      <c r="AF4" s="54">
        <v>653.78</v>
      </c>
      <c r="AG4" s="55">
        <v>6500</v>
      </c>
      <c r="AH4" s="53">
        <v>4.0599999999999997E-2</v>
      </c>
      <c r="AJ4" s="54">
        <v>323.33</v>
      </c>
      <c r="AK4" s="55">
        <v>12996</v>
      </c>
      <c r="AL4" s="53">
        <v>3.85E-2</v>
      </c>
    </row>
    <row r="5" spans="1:38" ht="17.25" thickBot="1">
      <c r="A5" s="56">
        <v>510.45</v>
      </c>
      <c r="B5" s="56">
        <v>319.45999999999998</v>
      </c>
      <c r="C5" s="56">
        <v>467.14</v>
      </c>
      <c r="D5" s="56">
        <v>464.3</v>
      </c>
      <c r="E5" s="56">
        <v>510.83</v>
      </c>
      <c r="F5" s="56">
        <v>259.82</v>
      </c>
      <c r="G5" s="56">
        <v>449.55</v>
      </c>
      <c r="H5" s="56">
        <v>652.6</v>
      </c>
      <c r="I5" s="58">
        <v>6397</v>
      </c>
      <c r="J5" s="62">
        <v>3.9899999999999998E-2</v>
      </c>
      <c r="L5" s="56">
        <v>259.82</v>
      </c>
      <c r="M5" s="58">
        <v>6397</v>
      </c>
      <c r="N5" s="62">
        <v>3.9899999999999998E-2</v>
      </c>
      <c r="P5" s="54">
        <v>513</v>
      </c>
      <c r="Q5" s="55">
        <v>5498</v>
      </c>
      <c r="R5" s="53">
        <v>3.4299999999999997E-2</v>
      </c>
      <c r="T5" s="54">
        <v>473.5</v>
      </c>
      <c r="U5" s="55">
        <v>6199</v>
      </c>
      <c r="V5" s="53">
        <v>3.8699999999999998E-2</v>
      </c>
      <c r="X5" s="56">
        <v>464.3</v>
      </c>
      <c r="Y5" s="58">
        <v>6397</v>
      </c>
      <c r="Z5" s="62">
        <v>3.9899999999999998E-2</v>
      </c>
      <c r="AB5" s="54">
        <v>513.21</v>
      </c>
      <c r="AC5" s="55">
        <v>12792</v>
      </c>
      <c r="AD5" s="53">
        <v>3.7900000000000003E-2</v>
      </c>
      <c r="AF5" s="56">
        <v>654.04</v>
      </c>
      <c r="AG5" s="58">
        <v>6397</v>
      </c>
      <c r="AH5" s="62">
        <v>3.9899999999999998E-2</v>
      </c>
      <c r="AJ5" s="54">
        <v>323.45999999999998</v>
      </c>
      <c r="AK5" s="55">
        <v>12792</v>
      </c>
      <c r="AL5" s="53">
        <v>3.7900000000000003E-2</v>
      </c>
    </row>
    <row r="6" spans="1:38" ht="17.25" thickBot="1">
      <c r="A6" s="54">
        <v>510.63</v>
      </c>
      <c r="B6" s="54">
        <v>319.55</v>
      </c>
      <c r="C6" s="54">
        <v>467.27</v>
      </c>
      <c r="D6" s="54">
        <v>464.47</v>
      </c>
      <c r="E6" s="54">
        <v>511.07</v>
      </c>
      <c r="F6" s="54">
        <v>259.83999999999997</v>
      </c>
      <c r="G6" s="54">
        <v>449.67</v>
      </c>
      <c r="H6" s="54">
        <v>652.84</v>
      </c>
      <c r="I6" s="55">
        <v>6298</v>
      </c>
      <c r="J6" s="53">
        <v>3.9300000000000002E-2</v>
      </c>
      <c r="L6" s="54">
        <v>259.83999999999997</v>
      </c>
      <c r="M6" s="55">
        <v>6298</v>
      </c>
      <c r="N6" s="53">
        <v>3.9300000000000002E-2</v>
      </c>
      <c r="P6" s="54">
        <v>514</v>
      </c>
      <c r="Q6" s="55">
        <v>5100</v>
      </c>
      <c r="R6" s="53">
        <v>3.1800000000000002E-2</v>
      </c>
      <c r="T6" s="54">
        <v>474</v>
      </c>
      <c r="U6" s="55">
        <v>5997</v>
      </c>
      <c r="V6" s="53">
        <v>3.7400000000000003E-2</v>
      </c>
      <c r="X6" s="54">
        <v>464.47</v>
      </c>
      <c r="Y6" s="55">
        <v>6298</v>
      </c>
      <c r="Z6" s="53">
        <v>3.9300000000000002E-2</v>
      </c>
      <c r="AB6" s="54">
        <v>513.35</v>
      </c>
      <c r="AC6" s="55">
        <v>12592</v>
      </c>
      <c r="AD6" s="53">
        <v>3.73E-2</v>
      </c>
      <c r="AF6" s="54">
        <v>654.36</v>
      </c>
      <c r="AG6" s="55">
        <v>6298</v>
      </c>
      <c r="AH6" s="53">
        <v>3.9300000000000002E-2</v>
      </c>
      <c r="AJ6" s="54">
        <v>323.56</v>
      </c>
      <c r="AK6" s="55">
        <v>12592</v>
      </c>
      <c r="AL6" s="53">
        <v>3.73E-2</v>
      </c>
    </row>
    <row r="7" spans="1:38" ht="17.25" thickBot="1">
      <c r="A7" s="54">
        <v>510.89</v>
      </c>
      <c r="B7" s="54">
        <v>319.7</v>
      </c>
      <c r="C7" s="54">
        <v>467.48</v>
      </c>
      <c r="D7" s="54">
        <v>464.62</v>
      </c>
      <c r="E7" s="54">
        <v>511.26</v>
      </c>
      <c r="F7" s="54">
        <v>259.98</v>
      </c>
      <c r="G7" s="54">
        <v>449.88</v>
      </c>
      <c r="H7" s="54">
        <v>653.14</v>
      </c>
      <c r="I7" s="55">
        <v>6199</v>
      </c>
      <c r="J7" s="53">
        <v>3.8699999999999998E-2</v>
      </c>
      <c r="L7" s="54">
        <v>259.98</v>
      </c>
      <c r="M7" s="55">
        <v>6199</v>
      </c>
      <c r="N7" s="53">
        <v>3.8699999999999998E-2</v>
      </c>
      <c r="P7" s="54">
        <v>515</v>
      </c>
      <c r="Q7" s="55">
        <v>4700</v>
      </c>
      <c r="R7" s="53">
        <v>2.93E-2</v>
      </c>
      <c r="T7" s="54">
        <v>474.5</v>
      </c>
      <c r="U7" s="55">
        <v>5798</v>
      </c>
      <c r="V7" s="53">
        <v>3.6200000000000003E-2</v>
      </c>
      <c r="X7" s="54">
        <v>464.62</v>
      </c>
      <c r="Y7" s="55">
        <v>6199</v>
      </c>
      <c r="Z7" s="53">
        <v>3.8699999999999998E-2</v>
      </c>
      <c r="AB7" s="54">
        <v>513.47</v>
      </c>
      <c r="AC7" s="55">
        <v>12394</v>
      </c>
      <c r="AD7" s="53">
        <v>3.6799999999999999E-2</v>
      </c>
      <c r="AF7" s="54">
        <v>654.62</v>
      </c>
      <c r="AG7" s="55">
        <v>6199</v>
      </c>
      <c r="AH7" s="53">
        <v>3.8699999999999998E-2</v>
      </c>
      <c r="AJ7" s="54">
        <v>323.7</v>
      </c>
      <c r="AK7" s="55">
        <v>12394</v>
      </c>
      <c r="AL7" s="53">
        <v>3.6799999999999999E-2</v>
      </c>
    </row>
    <row r="8" spans="1:38" ht="17.25" thickBot="1">
      <c r="A8" s="54">
        <v>511.1</v>
      </c>
      <c r="B8" s="54">
        <v>319.8</v>
      </c>
      <c r="C8" s="54">
        <v>467.64</v>
      </c>
      <c r="D8" s="54">
        <v>464.87</v>
      </c>
      <c r="E8" s="54">
        <v>511.47</v>
      </c>
      <c r="F8" s="54">
        <v>260.17</v>
      </c>
      <c r="G8" s="54">
        <v>450.02</v>
      </c>
      <c r="H8" s="54">
        <v>653.57000000000005</v>
      </c>
      <c r="I8" s="55">
        <v>6098</v>
      </c>
      <c r="J8" s="53">
        <v>3.8100000000000002E-2</v>
      </c>
      <c r="L8" s="54">
        <v>260.17</v>
      </c>
      <c r="M8" s="55">
        <v>6098</v>
      </c>
      <c r="N8" s="53">
        <v>3.8100000000000002E-2</v>
      </c>
      <c r="P8" s="54">
        <v>516</v>
      </c>
      <c r="Q8" s="55">
        <v>4298</v>
      </c>
      <c r="R8" s="53">
        <v>2.6800000000000001E-2</v>
      </c>
      <c r="T8" s="54">
        <v>475</v>
      </c>
      <c r="U8" s="55">
        <v>5498</v>
      </c>
      <c r="V8" s="53">
        <v>3.4299999999999997E-2</v>
      </c>
      <c r="X8" s="54">
        <v>464.87</v>
      </c>
      <c r="Y8" s="55">
        <v>6098</v>
      </c>
      <c r="Z8" s="53">
        <v>3.8100000000000002E-2</v>
      </c>
      <c r="AB8" s="54">
        <v>513.64</v>
      </c>
      <c r="AC8" s="55">
        <v>12199</v>
      </c>
      <c r="AD8" s="53">
        <v>3.6200000000000003E-2</v>
      </c>
      <c r="AF8" s="54">
        <v>654.97</v>
      </c>
      <c r="AG8" s="55">
        <v>6098</v>
      </c>
      <c r="AH8" s="53">
        <v>3.8100000000000002E-2</v>
      </c>
      <c r="AJ8" s="54">
        <v>323.76</v>
      </c>
      <c r="AK8" s="55">
        <v>12199</v>
      </c>
      <c r="AL8" s="53">
        <v>3.6200000000000003E-2</v>
      </c>
    </row>
    <row r="9" spans="1:38" ht="17.25" thickBot="1">
      <c r="A9" s="54">
        <v>511.41</v>
      </c>
      <c r="B9" s="54">
        <v>320</v>
      </c>
      <c r="C9" s="54">
        <v>467.91</v>
      </c>
      <c r="D9" s="54">
        <v>465.13</v>
      </c>
      <c r="E9" s="54">
        <v>511.75</v>
      </c>
      <c r="F9" s="54">
        <v>260.27</v>
      </c>
      <c r="G9" s="54">
        <v>450.28</v>
      </c>
      <c r="H9" s="54">
        <v>653.86</v>
      </c>
      <c r="I9" s="55">
        <v>5997</v>
      </c>
      <c r="J9" s="53">
        <v>3.7400000000000003E-2</v>
      </c>
      <c r="L9" s="54">
        <v>260.27</v>
      </c>
      <c r="M9" s="55">
        <v>5997</v>
      </c>
      <c r="N9" s="53">
        <v>3.7400000000000003E-2</v>
      </c>
      <c r="P9" s="56">
        <v>517</v>
      </c>
      <c r="Q9" s="58">
        <v>3998</v>
      </c>
      <c r="R9" s="62">
        <v>2.5000000000000001E-2</v>
      </c>
      <c r="T9" s="54">
        <v>475.5</v>
      </c>
      <c r="U9" s="55">
        <v>5398</v>
      </c>
      <c r="V9" s="53">
        <v>3.3700000000000001E-2</v>
      </c>
      <c r="X9" s="54">
        <v>465.13</v>
      </c>
      <c r="Y9" s="55">
        <v>5997</v>
      </c>
      <c r="Z9" s="53">
        <v>3.7400000000000003E-2</v>
      </c>
      <c r="AB9" s="54">
        <v>513.86</v>
      </c>
      <c r="AC9" s="55">
        <v>11996</v>
      </c>
      <c r="AD9" s="53">
        <v>3.56E-2</v>
      </c>
      <c r="AF9" s="54">
        <v>655.37</v>
      </c>
      <c r="AG9" s="55">
        <v>5997</v>
      </c>
      <c r="AH9" s="53">
        <v>3.7400000000000003E-2</v>
      </c>
      <c r="AJ9" s="54">
        <v>323.91000000000003</v>
      </c>
      <c r="AK9" s="55">
        <v>11996</v>
      </c>
      <c r="AL9" s="53">
        <v>3.56E-2</v>
      </c>
    </row>
    <row r="10" spans="1:38" ht="17.25" thickBot="1">
      <c r="A10" s="54">
        <v>511.66</v>
      </c>
      <c r="B10" s="54">
        <v>320.23</v>
      </c>
      <c r="C10" s="54">
        <v>468.25</v>
      </c>
      <c r="D10" s="54">
        <v>465.34</v>
      </c>
      <c r="E10" s="54">
        <v>512.03</v>
      </c>
      <c r="F10" s="54">
        <v>260.48</v>
      </c>
      <c r="G10" s="54">
        <v>450.62</v>
      </c>
      <c r="H10" s="54">
        <v>654.1</v>
      </c>
      <c r="I10" s="55">
        <v>5897</v>
      </c>
      <c r="J10" s="53">
        <v>3.6799999999999999E-2</v>
      </c>
      <c r="L10" s="54">
        <v>260.48</v>
      </c>
      <c r="M10" s="55">
        <v>5897</v>
      </c>
      <c r="N10" s="53">
        <v>3.6799999999999999E-2</v>
      </c>
      <c r="P10" s="54">
        <v>518</v>
      </c>
      <c r="Q10" s="55">
        <v>3699</v>
      </c>
      <c r="R10" s="53">
        <v>2.3099999999999999E-2</v>
      </c>
      <c r="T10" s="54">
        <v>476</v>
      </c>
      <c r="U10" s="55">
        <v>5197</v>
      </c>
      <c r="V10" s="53">
        <v>3.2399999999999998E-2</v>
      </c>
      <c r="X10" s="54">
        <v>465.34</v>
      </c>
      <c r="Y10" s="55">
        <v>5897</v>
      </c>
      <c r="Z10" s="53">
        <v>3.6799999999999999E-2</v>
      </c>
      <c r="AB10" s="56">
        <v>514.08000000000004</v>
      </c>
      <c r="AC10" s="58">
        <v>11796</v>
      </c>
      <c r="AD10" s="62">
        <v>3.5000000000000003E-2</v>
      </c>
      <c r="AF10" s="54">
        <v>655.78</v>
      </c>
      <c r="AG10" s="55">
        <v>5897</v>
      </c>
      <c r="AH10" s="53">
        <v>3.6799999999999999E-2</v>
      </c>
      <c r="AJ10" s="56">
        <v>324.01</v>
      </c>
      <c r="AK10" s="58">
        <v>11796</v>
      </c>
      <c r="AL10" s="62">
        <v>3.5000000000000003E-2</v>
      </c>
    </row>
    <row r="11" spans="1:38" ht="17.25" thickBot="1">
      <c r="A11" s="57">
        <v>511.83</v>
      </c>
      <c r="B11" s="57">
        <v>320.38</v>
      </c>
      <c r="C11" s="57">
        <v>468.47</v>
      </c>
      <c r="D11" s="57">
        <v>465.66</v>
      </c>
      <c r="E11" s="57">
        <v>512.24</v>
      </c>
      <c r="F11" s="57">
        <v>260.51</v>
      </c>
      <c r="G11" s="57">
        <v>450.83</v>
      </c>
      <c r="H11" s="57">
        <v>654.42999999999995</v>
      </c>
      <c r="I11" s="60">
        <v>5798</v>
      </c>
      <c r="J11" s="63">
        <v>3.6200000000000003E-2</v>
      </c>
      <c r="L11" s="57">
        <v>260.51</v>
      </c>
      <c r="M11" s="60">
        <v>5798</v>
      </c>
      <c r="N11" s="63">
        <v>3.6200000000000003E-2</v>
      </c>
      <c r="P11" s="57">
        <v>519</v>
      </c>
      <c r="Q11" s="60">
        <v>3299</v>
      </c>
      <c r="R11" s="63">
        <v>2.06E-2</v>
      </c>
      <c r="T11" s="57">
        <v>476.5</v>
      </c>
      <c r="U11" s="60">
        <v>4999</v>
      </c>
      <c r="V11" s="63">
        <v>3.1199999999999999E-2</v>
      </c>
      <c r="X11" s="57">
        <v>465.66</v>
      </c>
      <c r="Y11" s="60">
        <v>5798</v>
      </c>
      <c r="Z11" s="63">
        <v>3.6200000000000003E-2</v>
      </c>
      <c r="AB11" s="54">
        <v>514.20000000000005</v>
      </c>
      <c r="AC11" s="55">
        <v>11599</v>
      </c>
      <c r="AD11" s="53">
        <v>3.44E-2</v>
      </c>
      <c r="AF11" s="57">
        <v>656.05</v>
      </c>
      <c r="AG11" s="60">
        <v>5798</v>
      </c>
      <c r="AH11" s="63">
        <v>3.6200000000000003E-2</v>
      </c>
      <c r="AJ11" s="54">
        <v>324.08</v>
      </c>
      <c r="AK11" s="55">
        <v>11599</v>
      </c>
      <c r="AL11" s="53">
        <v>3.44E-2</v>
      </c>
    </row>
    <row r="12" spans="1:38" ht="17.25" thickBot="1">
      <c r="A12" s="54">
        <v>512.07000000000005</v>
      </c>
      <c r="B12" s="54">
        <v>320.54000000000002</v>
      </c>
      <c r="C12" s="54">
        <v>468.7</v>
      </c>
      <c r="D12" s="54">
        <v>465.86</v>
      </c>
      <c r="E12" s="54">
        <v>512.4</v>
      </c>
      <c r="F12" s="54">
        <v>260.82</v>
      </c>
      <c r="G12" s="54">
        <v>451.04</v>
      </c>
      <c r="H12" s="54">
        <v>654.69000000000005</v>
      </c>
      <c r="I12" s="55">
        <v>5700</v>
      </c>
      <c r="J12" s="53">
        <v>3.56E-2</v>
      </c>
      <c r="L12" s="54">
        <v>260.82</v>
      </c>
      <c r="M12" s="55">
        <v>5700</v>
      </c>
      <c r="N12" s="53">
        <v>3.56E-2</v>
      </c>
      <c r="P12" s="54">
        <v>520</v>
      </c>
      <c r="Q12" s="55">
        <v>3000</v>
      </c>
      <c r="R12" s="53">
        <v>1.8700000000000001E-2</v>
      </c>
      <c r="T12" s="56">
        <v>477</v>
      </c>
      <c r="U12" s="58">
        <v>4798</v>
      </c>
      <c r="V12" s="62">
        <v>0.03</v>
      </c>
      <c r="X12" s="54">
        <v>465.86</v>
      </c>
      <c r="Y12" s="55">
        <v>5700</v>
      </c>
      <c r="Z12" s="53">
        <v>3.56E-2</v>
      </c>
      <c r="AB12" s="57">
        <v>514.44000000000005</v>
      </c>
      <c r="AC12" s="60">
        <v>11394</v>
      </c>
      <c r="AD12" s="63">
        <v>3.3799999999999997E-2</v>
      </c>
      <c r="AF12" s="54">
        <v>656.32</v>
      </c>
      <c r="AG12" s="55">
        <v>5700</v>
      </c>
      <c r="AH12" s="53">
        <v>3.56E-2</v>
      </c>
      <c r="AJ12" s="57">
        <v>324.23</v>
      </c>
      <c r="AK12" s="60">
        <v>11394</v>
      </c>
      <c r="AL12" s="63">
        <v>3.3799999999999997E-2</v>
      </c>
    </row>
    <row r="13" spans="1:38" ht="17.25" thickBot="1">
      <c r="A13" s="56">
        <v>512.4</v>
      </c>
      <c r="B13" s="56">
        <v>320.61</v>
      </c>
      <c r="C13" s="56">
        <v>468.81</v>
      </c>
      <c r="D13" s="56">
        <v>466.15</v>
      </c>
      <c r="E13" s="56">
        <v>512.70000000000005</v>
      </c>
      <c r="F13" s="56">
        <v>260.92</v>
      </c>
      <c r="G13" s="56">
        <v>451.15</v>
      </c>
      <c r="H13" s="56">
        <v>655.04999999999995</v>
      </c>
      <c r="I13" s="58">
        <v>5598</v>
      </c>
      <c r="J13" s="62">
        <v>3.5000000000000003E-2</v>
      </c>
      <c r="L13" s="56">
        <v>260.92</v>
      </c>
      <c r="M13" s="58">
        <v>5598</v>
      </c>
      <c r="N13" s="62">
        <v>3.5000000000000003E-2</v>
      </c>
      <c r="P13" s="54">
        <v>521</v>
      </c>
      <c r="Q13" s="55">
        <v>2700</v>
      </c>
      <c r="R13" s="53">
        <v>1.6899999999999998E-2</v>
      </c>
      <c r="T13" s="54">
        <v>477.5</v>
      </c>
      <c r="U13" s="55">
        <v>4600</v>
      </c>
      <c r="V13" s="53">
        <v>2.87E-2</v>
      </c>
      <c r="X13" s="56">
        <v>466.15</v>
      </c>
      <c r="Y13" s="58">
        <v>5598</v>
      </c>
      <c r="Z13" s="62">
        <v>3.5000000000000003E-2</v>
      </c>
      <c r="AB13" s="54">
        <v>514.61</v>
      </c>
      <c r="AC13" s="55">
        <v>11193</v>
      </c>
      <c r="AD13" s="53">
        <v>3.32E-2</v>
      </c>
      <c r="AF13" s="56">
        <v>656.61</v>
      </c>
      <c r="AG13" s="58">
        <v>5598</v>
      </c>
      <c r="AH13" s="62">
        <v>3.5000000000000003E-2</v>
      </c>
      <c r="AJ13" s="54">
        <v>324.38</v>
      </c>
      <c r="AK13" s="55">
        <v>11193</v>
      </c>
      <c r="AL13" s="53">
        <v>3.32E-2</v>
      </c>
    </row>
    <row r="14" spans="1:38" ht="17.25" thickBot="1">
      <c r="A14" s="54">
        <v>512.61</v>
      </c>
      <c r="B14" s="54">
        <v>320.77999999999997</v>
      </c>
      <c r="C14" s="54">
        <v>469.06</v>
      </c>
      <c r="D14" s="54">
        <v>466.47</v>
      </c>
      <c r="E14" s="54">
        <v>512.91</v>
      </c>
      <c r="F14" s="54">
        <v>261.19</v>
      </c>
      <c r="G14" s="54">
        <v>451.39</v>
      </c>
      <c r="H14" s="54">
        <v>655.38</v>
      </c>
      <c r="I14" s="55">
        <v>5498</v>
      </c>
      <c r="J14" s="53">
        <v>3.4299999999999997E-2</v>
      </c>
      <c r="L14" s="54">
        <v>261.19</v>
      </c>
      <c r="M14" s="55">
        <v>5498</v>
      </c>
      <c r="N14" s="53">
        <v>3.4299999999999997E-2</v>
      </c>
      <c r="P14" s="54">
        <v>522</v>
      </c>
      <c r="Q14" s="55">
        <v>2450</v>
      </c>
      <c r="R14" s="53">
        <v>1.5299999999999999E-2</v>
      </c>
      <c r="T14" s="54">
        <v>478</v>
      </c>
      <c r="U14" s="55">
        <v>4497</v>
      </c>
      <c r="V14" s="53">
        <v>2.81E-2</v>
      </c>
      <c r="X14" s="54">
        <v>466.47</v>
      </c>
      <c r="Y14" s="55">
        <v>5498</v>
      </c>
      <c r="Z14" s="53">
        <v>3.4299999999999997E-2</v>
      </c>
      <c r="AB14" s="54">
        <v>514.79</v>
      </c>
      <c r="AC14" s="55">
        <v>10995</v>
      </c>
      <c r="AD14" s="53">
        <v>3.2599999999999997E-2</v>
      </c>
      <c r="AF14" s="54">
        <v>656.91</v>
      </c>
      <c r="AG14" s="55">
        <v>5498</v>
      </c>
      <c r="AH14" s="53">
        <v>3.4299999999999997E-2</v>
      </c>
      <c r="AJ14" s="54">
        <v>324.47000000000003</v>
      </c>
      <c r="AK14" s="55">
        <v>10995</v>
      </c>
      <c r="AL14" s="53">
        <v>3.2599999999999997E-2</v>
      </c>
    </row>
    <row r="15" spans="1:38" ht="17.25" thickBot="1">
      <c r="A15" s="54">
        <v>512.87</v>
      </c>
      <c r="B15" s="54">
        <v>321.01</v>
      </c>
      <c r="C15" s="54">
        <v>469.38</v>
      </c>
      <c r="D15" s="54">
        <v>466.69</v>
      </c>
      <c r="E15" s="54">
        <v>513.20000000000005</v>
      </c>
      <c r="F15" s="54">
        <v>261.32</v>
      </c>
      <c r="G15" s="54">
        <v>451.69</v>
      </c>
      <c r="H15" s="54">
        <v>655.71</v>
      </c>
      <c r="I15" s="55">
        <v>5398</v>
      </c>
      <c r="J15" s="53">
        <v>3.3700000000000001E-2</v>
      </c>
      <c r="L15" s="54">
        <v>261.32</v>
      </c>
      <c r="M15" s="55">
        <v>5398</v>
      </c>
      <c r="N15" s="53">
        <v>3.3700000000000001E-2</v>
      </c>
      <c r="P15" s="54">
        <v>523</v>
      </c>
      <c r="Q15" s="55">
        <v>2199</v>
      </c>
      <c r="R15" s="53">
        <v>1.37E-2</v>
      </c>
      <c r="T15" s="54">
        <v>478.5</v>
      </c>
      <c r="U15" s="55">
        <v>4298</v>
      </c>
      <c r="V15" s="53">
        <v>2.6800000000000001E-2</v>
      </c>
      <c r="X15" s="54">
        <v>466.69</v>
      </c>
      <c r="Y15" s="55">
        <v>5398</v>
      </c>
      <c r="Z15" s="53">
        <v>3.3700000000000001E-2</v>
      </c>
      <c r="AB15" s="54">
        <v>515.04</v>
      </c>
      <c r="AC15" s="55">
        <v>10791</v>
      </c>
      <c r="AD15" s="53">
        <v>3.2000000000000001E-2</v>
      </c>
      <c r="AF15" s="54">
        <v>657.29</v>
      </c>
      <c r="AG15" s="55">
        <v>5398</v>
      </c>
      <c r="AH15" s="53">
        <v>3.3700000000000001E-2</v>
      </c>
      <c r="AJ15" s="54">
        <v>324.63</v>
      </c>
      <c r="AK15" s="55">
        <v>10791</v>
      </c>
      <c r="AL15" s="53">
        <v>3.2000000000000001E-2</v>
      </c>
    </row>
    <row r="16" spans="1:38" ht="17.25" thickBot="1">
      <c r="A16" s="57">
        <v>513.12</v>
      </c>
      <c r="B16" s="57">
        <v>321.10000000000002</v>
      </c>
      <c r="C16" s="57">
        <v>469.52</v>
      </c>
      <c r="D16" s="57">
        <v>466.97</v>
      </c>
      <c r="E16" s="57">
        <v>513.32000000000005</v>
      </c>
      <c r="F16" s="57">
        <v>261.47000000000003</v>
      </c>
      <c r="G16" s="57">
        <v>451.84</v>
      </c>
      <c r="H16" s="57">
        <v>656</v>
      </c>
      <c r="I16" s="60">
        <v>5299</v>
      </c>
      <c r="J16" s="63">
        <v>3.3099999999999997E-2</v>
      </c>
      <c r="L16" s="57">
        <v>261.47000000000003</v>
      </c>
      <c r="M16" s="60">
        <v>5299</v>
      </c>
      <c r="N16" s="63">
        <v>3.3099999999999997E-2</v>
      </c>
      <c r="P16" s="57">
        <v>524</v>
      </c>
      <c r="Q16" s="60">
        <v>1998</v>
      </c>
      <c r="R16" s="63">
        <v>1.2500000000000001E-2</v>
      </c>
      <c r="T16" s="57">
        <v>479</v>
      </c>
      <c r="U16" s="60">
        <v>4099</v>
      </c>
      <c r="V16" s="63">
        <v>2.5600000000000001E-2</v>
      </c>
      <c r="X16" s="57">
        <v>466.97</v>
      </c>
      <c r="Y16" s="60">
        <v>5299</v>
      </c>
      <c r="Z16" s="63">
        <v>3.3099999999999997E-2</v>
      </c>
      <c r="AB16" s="54">
        <v>515.23</v>
      </c>
      <c r="AC16" s="55">
        <v>10599</v>
      </c>
      <c r="AD16" s="53">
        <v>3.1399999999999997E-2</v>
      </c>
      <c r="AF16" s="57">
        <v>657.55</v>
      </c>
      <c r="AG16" s="60">
        <v>5299</v>
      </c>
      <c r="AH16" s="63">
        <v>3.3099999999999997E-2</v>
      </c>
      <c r="AJ16" s="54">
        <v>324.67</v>
      </c>
      <c r="AK16" s="55">
        <v>10599</v>
      </c>
      <c r="AL16" s="53">
        <v>3.1399999999999997E-2</v>
      </c>
    </row>
    <row r="17" spans="1:38" ht="17.25" thickBot="1">
      <c r="A17" s="54">
        <v>513.4</v>
      </c>
      <c r="B17" s="54">
        <v>321.24</v>
      </c>
      <c r="C17" s="54">
        <v>469.74</v>
      </c>
      <c r="D17" s="54">
        <v>467.18</v>
      </c>
      <c r="E17" s="54">
        <v>513.58000000000004</v>
      </c>
      <c r="F17" s="54">
        <v>261.58</v>
      </c>
      <c r="G17" s="54">
        <v>452.04</v>
      </c>
      <c r="H17" s="54">
        <v>656.34</v>
      </c>
      <c r="I17" s="55">
        <v>5197</v>
      </c>
      <c r="J17" s="53">
        <v>3.2399999999999998E-2</v>
      </c>
      <c r="L17" s="54">
        <v>261.58</v>
      </c>
      <c r="M17" s="55">
        <v>5197</v>
      </c>
      <c r="N17" s="53">
        <v>3.2399999999999998E-2</v>
      </c>
      <c r="P17" s="54">
        <v>525</v>
      </c>
      <c r="Q17" s="55">
        <v>1800</v>
      </c>
      <c r="R17" s="53">
        <v>1.12E-2</v>
      </c>
      <c r="T17" s="54">
        <v>479.5</v>
      </c>
      <c r="U17" s="55">
        <v>3900</v>
      </c>
      <c r="V17" s="53">
        <v>2.4400000000000002E-2</v>
      </c>
      <c r="X17" s="54">
        <v>467.18</v>
      </c>
      <c r="Y17" s="55">
        <v>5197</v>
      </c>
      <c r="Z17" s="53">
        <v>3.2399999999999998E-2</v>
      </c>
      <c r="AB17" s="54">
        <v>515.54999999999995</v>
      </c>
      <c r="AC17" s="55">
        <v>10392</v>
      </c>
      <c r="AD17" s="53">
        <v>3.0800000000000001E-2</v>
      </c>
      <c r="AF17" s="54">
        <v>657.8</v>
      </c>
      <c r="AG17" s="55">
        <v>5197</v>
      </c>
      <c r="AH17" s="53">
        <v>3.2399999999999998E-2</v>
      </c>
      <c r="AJ17" s="54">
        <v>324.89</v>
      </c>
      <c r="AK17" s="55">
        <v>10392</v>
      </c>
      <c r="AL17" s="53">
        <v>3.0800000000000001E-2</v>
      </c>
    </row>
    <row r="18" spans="1:38" ht="17.25" thickBot="1">
      <c r="A18" s="54">
        <v>513.57000000000005</v>
      </c>
      <c r="B18" s="54">
        <v>321.37</v>
      </c>
      <c r="C18" s="54">
        <v>469.92</v>
      </c>
      <c r="D18" s="54">
        <v>467.43</v>
      </c>
      <c r="E18" s="54">
        <v>513.82000000000005</v>
      </c>
      <c r="F18" s="54">
        <v>261.79000000000002</v>
      </c>
      <c r="G18" s="54">
        <v>452.23</v>
      </c>
      <c r="H18" s="54">
        <v>656.67</v>
      </c>
      <c r="I18" s="55">
        <v>5100</v>
      </c>
      <c r="J18" s="53">
        <v>3.1800000000000002E-2</v>
      </c>
      <c r="L18" s="54">
        <v>261.79000000000002</v>
      </c>
      <c r="M18" s="55">
        <v>5100</v>
      </c>
      <c r="N18" s="53">
        <v>3.1800000000000002E-2</v>
      </c>
      <c r="P18" s="54">
        <v>526</v>
      </c>
      <c r="Q18" s="55">
        <v>1549</v>
      </c>
      <c r="R18" s="53">
        <v>9.7000000000000003E-3</v>
      </c>
      <c r="T18" s="54">
        <v>480</v>
      </c>
      <c r="U18" s="55">
        <v>3798</v>
      </c>
      <c r="V18" s="53">
        <v>2.3699999999999999E-2</v>
      </c>
      <c r="X18" s="54">
        <v>467.43</v>
      </c>
      <c r="Y18" s="55">
        <v>5100</v>
      </c>
      <c r="Z18" s="53">
        <v>3.1800000000000002E-2</v>
      </c>
      <c r="AB18" s="56">
        <v>515.79</v>
      </c>
      <c r="AC18" s="58">
        <v>10197</v>
      </c>
      <c r="AD18" s="62">
        <v>3.0200000000000001E-2</v>
      </c>
      <c r="AF18" s="54">
        <v>658.13</v>
      </c>
      <c r="AG18" s="55">
        <v>5100</v>
      </c>
      <c r="AH18" s="53">
        <v>3.1800000000000002E-2</v>
      </c>
      <c r="AJ18" s="56">
        <v>325.01</v>
      </c>
      <c r="AK18" s="58">
        <v>10197</v>
      </c>
      <c r="AL18" s="62">
        <v>3.0200000000000001E-2</v>
      </c>
    </row>
    <row r="19" spans="1:38" ht="17.25" thickBot="1">
      <c r="A19" s="54">
        <v>513.87</v>
      </c>
      <c r="B19" s="54">
        <v>321.49</v>
      </c>
      <c r="C19" s="54">
        <v>470.1</v>
      </c>
      <c r="D19" s="54">
        <v>467.53</v>
      </c>
      <c r="E19" s="54">
        <v>514.07000000000005</v>
      </c>
      <c r="F19" s="54">
        <v>261.83999999999997</v>
      </c>
      <c r="G19" s="54">
        <v>452.38</v>
      </c>
      <c r="H19" s="54">
        <v>657.05</v>
      </c>
      <c r="I19" s="55">
        <v>4999</v>
      </c>
      <c r="J19" s="53">
        <v>3.1199999999999999E-2</v>
      </c>
      <c r="L19" s="54">
        <v>261.83999999999997</v>
      </c>
      <c r="M19" s="55">
        <v>4999</v>
      </c>
      <c r="N19" s="53">
        <v>3.1199999999999999E-2</v>
      </c>
      <c r="P19" s="54">
        <v>527</v>
      </c>
      <c r="Q19" s="55">
        <v>1398</v>
      </c>
      <c r="R19" s="53">
        <v>8.6999999999999994E-3</v>
      </c>
      <c r="T19" s="54">
        <v>480.5</v>
      </c>
      <c r="U19" s="55">
        <v>3598</v>
      </c>
      <c r="V19" s="53">
        <v>2.2499999999999999E-2</v>
      </c>
      <c r="X19" s="54">
        <v>467.53</v>
      </c>
      <c r="Y19" s="55">
        <v>4999</v>
      </c>
      <c r="Z19" s="53">
        <v>3.1199999999999999E-2</v>
      </c>
      <c r="AB19" s="54">
        <v>516</v>
      </c>
      <c r="AC19" s="55">
        <v>9997</v>
      </c>
      <c r="AD19" s="53">
        <v>2.9700000000000001E-2</v>
      </c>
      <c r="AF19" s="54">
        <v>658.36</v>
      </c>
      <c r="AG19" s="55">
        <v>4999</v>
      </c>
      <c r="AH19" s="53">
        <v>3.1199999999999999E-2</v>
      </c>
      <c r="AJ19" s="54">
        <v>325.08999999999997</v>
      </c>
      <c r="AK19" s="55">
        <v>9997</v>
      </c>
      <c r="AL19" s="53">
        <v>2.9700000000000001E-2</v>
      </c>
    </row>
    <row r="20" spans="1:38" ht="17.25" thickBot="1">
      <c r="A20" s="57">
        <v>514.14</v>
      </c>
      <c r="B20" s="57">
        <v>321.69</v>
      </c>
      <c r="C20" s="57">
        <v>470.39</v>
      </c>
      <c r="D20" s="57">
        <v>467.88</v>
      </c>
      <c r="E20" s="57">
        <v>514.30999999999995</v>
      </c>
      <c r="F20" s="57">
        <v>262.13</v>
      </c>
      <c r="G20" s="57">
        <v>452.65</v>
      </c>
      <c r="H20" s="57">
        <v>657.44</v>
      </c>
      <c r="I20" s="60">
        <v>4900</v>
      </c>
      <c r="J20" s="63">
        <v>3.0599999999999999E-2</v>
      </c>
      <c r="L20" s="57">
        <v>262.13</v>
      </c>
      <c r="M20" s="60">
        <v>4900</v>
      </c>
      <c r="N20" s="63">
        <v>3.0599999999999999E-2</v>
      </c>
      <c r="P20" s="57">
        <v>528</v>
      </c>
      <c r="Q20" s="60">
        <v>1198</v>
      </c>
      <c r="R20" s="63">
        <v>7.4999999999999997E-3</v>
      </c>
      <c r="T20" s="57">
        <v>481</v>
      </c>
      <c r="U20" s="60">
        <v>3400</v>
      </c>
      <c r="V20" s="63">
        <v>2.12E-2</v>
      </c>
      <c r="X20" s="57">
        <v>467.88</v>
      </c>
      <c r="Y20" s="60">
        <v>4900</v>
      </c>
      <c r="Z20" s="63">
        <v>3.0599999999999999E-2</v>
      </c>
      <c r="AB20" s="57">
        <v>516.29999999999995</v>
      </c>
      <c r="AC20" s="60">
        <v>9800</v>
      </c>
      <c r="AD20" s="63">
        <v>2.9100000000000001E-2</v>
      </c>
      <c r="AF20" s="57">
        <v>658.68</v>
      </c>
      <c r="AG20" s="60">
        <v>4900</v>
      </c>
      <c r="AH20" s="63">
        <v>3.0599999999999999E-2</v>
      </c>
      <c r="AJ20" s="57">
        <v>325.25</v>
      </c>
      <c r="AK20" s="60">
        <v>9800</v>
      </c>
      <c r="AL20" s="63">
        <v>2.9100000000000001E-2</v>
      </c>
    </row>
    <row r="21" spans="1:38" ht="17.25" thickBot="1">
      <c r="A21" s="56">
        <v>514.4</v>
      </c>
      <c r="B21" s="56">
        <v>321.83999999999997</v>
      </c>
      <c r="C21" s="56">
        <v>470.59</v>
      </c>
      <c r="D21" s="56">
        <v>468.12</v>
      </c>
      <c r="E21" s="56">
        <v>514.6</v>
      </c>
      <c r="F21" s="56">
        <v>262.26</v>
      </c>
      <c r="G21" s="56">
        <v>452.86</v>
      </c>
      <c r="H21" s="56">
        <v>657.94</v>
      </c>
      <c r="I21" s="58">
        <v>4798</v>
      </c>
      <c r="J21" s="62">
        <v>0.03</v>
      </c>
      <c r="L21" s="56">
        <v>262.26</v>
      </c>
      <c r="M21" s="58">
        <v>4798</v>
      </c>
      <c r="N21" s="62">
        <v>0.03</v>
      </c>
      <c r="P21" s="54">
        <v>529</v>
      </c>
      <c r="Q21" s="55">
        <v>1050</v>
      </c>
      <c r="R21" s="53">
        <v>6.6E-3</v>
      </c>
      <c r="T21" s="54">
        <v>481.5</v>
      </c>
      <c r="U21" s="55">
        <v>3299</v>
      </c>
      <c r="V21" s="53">
        <v>2.06E-2</v>
      </c>
      <c r="X21" s="56">
        <v>468.12</v>
      </c>
      <c r="Y21" s="58">
        <v>4798</v>
      </c>
      <c r="Z21" s="62">
        <v>0.03</v>
      </c>
      <c r="AB21" s="54">
        <v>516.55999999999995</v>
      </c>
      <c r="AC21" s="55">
        <v>9598</v>
      </c>
      <c r="AD21" s="53">
        <v>2.8500000000000001E-2</v>
      </c>
      <c r="AF21" s="56">
        <v>659.01</v>
      </c>
      <c r="AG21" s="58">
        <v>4798</v>
      </c>
      <c r="AH21" s="62">
        <v>0.03</v>
      </c>
      <c r="AJ21" s="54">
        <v>325.36</v>
      </c>
      <c r="AK21" s="55">
        <v>9598</v>
      </c>
      <c r="AL21" s="53">
        <v>2.8500000000000001E-2</v>
      </c>
    </row>
    <row r="22" spans="1:38" ht="17.25" thickBot="1">
      <c r="A22" s="54">
        <v>514.65</v>
      </c>
      <c r="B22" s="54">
        <v>322.05</v>
      </c>
      <c r="C22" s="54">
        <v>470.92</v>
      </c>
      <c r="D22" s="54">
        <v>468.41</v>
      </c>
      <c r="E22" s="54">
        <v>514.98</v>
      </c>
      <c r="F22" s="54">
        <v>262.45999999999998</v>
      </c>
      <c r="G22" s="54">
        <v>453.17</v>
      </c>
      <c r="H22" s="54">
        <v>658.27</v>
      </c>
      <c r="I22" s="55">
        <v>4700</v>
      </c>
      <c r="J22" s="53">
        <v>2.93E-2</v>
      </c>
      <c r="L22" s="54">
        <v>262.45999999999998</v>
      </c>
      <c r="M22" s="55">
        <v>4700</v>
      </c>
      <c r="N22" s="53">
        <v>2.93E-2</v>
      </c>
      <c r="P22" s="54">
        <v>530</v>
      </c>
      <c r="Q22" s="52">
        <v>899</v>
      </c>
      <c r="R22" s="53">
        <v>5.5999999999999999E-3</v>
      </c>
      <c r="T22" s="56">
        <v>482</v>
      </c>
      <c r="U22" s="58">
        <v>3200</v>
      </c>
      <c r="V22" s="62">
        <v>0.02</v>
      </c>
      <c r="X22" s="54">
        <v>468.41</v>
      </c>
      <c r="Y22" s="55">
        <v>4700</v>
      </c>
      <c r="Z22" s="53">
        <v>2.93E-2</v>
      </c>
      <c r="AB22" s="54">
        <v>516.83000000000004</v>
      </c>
      <c r="AC22" s="55">
        <v>9400</v>
      </c>
      <c r="AD22" s="53">
        <v>2.7900000000000001E-2</v>
      </c>
      <c r="AF22" s="54">
        <v>659.43</v>
      </c>
      <c r="AG22" s="55">
        <v>4700</v>
      </c>
      <c r="AH22" s="53">
        <v>2.93E-2</v>
      </c>
      <c r="AJ22" s="54">
        <v>325.66000000000003</v>
      </c>
      <c r="AK22" s="55">
        <v>9400</v>
      </c>
      <c r="AL22" s="53">
        <v>2.7900000000000001E-2</v>
      </c>
    </row>
    <row r="23" spans="1:38" ht="17.25" thickBot="1">
      <c r="A23" s="54">
        <v>514.91999999999996</v>
      </c>
      <c r="B23" s="54">
        <v>322.26</v>
      </c>
      <c r="C23" s="54">
        <v>471.2</v>
      </c>
      <c r="D23" s="54">
        <v>468.72</v>
      </c>
      <c r="E23" s="54">
        <v>515.27</v>
      </c>
      <c r="F23" s="54">
        <v>262.54000000000002</v>
      </c>
      <c r="G23" s="54">
        <v>453.43</v>
      </c>
      <c r="H23" s="54">
        <v>658.66</v>
      </c>
      <c r="I23" s="55">
        <v>4600</v>
      </c>
      <c r="J23" s="53">
        <v>2.87E-2</v>
      </c>
      <c r="L23" s="54">
        <v>262.54000000000002</v>
      </c>
      <c r="M23" s="55">
        <v>4600</v>
      </c>
      <c r="N23" s="53">
        <v>2.87E-2</v>
      </c>
      <c r="P23" s="56">
        <v>531</v>
      </c>
      <c r="Q23" s="61">
        <v>800</v>
      </c>
      <c r="R23" s="62">
        <v>5.0000000000000001E-3</v>
      </c>
      <c r="T23" s="54">
        <v>482.5</v>
      </c>
      <c r="U23" s="55">
        <v>3000</v>
      </c>
      <c r="V23" s="53">
        <v>1.8700000000000001E-2</v>
      </c>
      <c r="X23" s="54">
        <v>468.72</v>
      </c>
      <c r="Y23" s="55">
        <v>4600</v>
      </c>
      <c r="Z23" s="53">
        <v>2.87E-2</v>
      </c>
      <c r="AB23" s="54">
        <v>517.1</v>
      </c>
      <c r="AC23" s="55">
        <v>9197</v>
      </c>
      <c r="AD23" s="53">
        <v>2.7300000000000001E-2</v>
      </c>
      <c r="AF23" s="54">
        <v>659.9</v>
      </c>
      <c r="AG23" s="55">
        <v>4600</v>
      </c>
      <c r="AH23" s="53">
        <v>2.87E-2</v>
      </c>
      <c r="AJ23" s="54">
        <v>325.76</v>
      </c>
      <c r="AK23" s="55">
        <v>9197</v>
      </c>
      <c r="AL23" s="53">
        <v>2.7300000000000001E-2</v>
      </c>
    </row>
    <row r="24" spans="1:38" ht="17.25" thickBot="1">
      <c r="A24" s="54">
        <v>515.28</v>
      </c>
      <c r="B24" s="54">
        <v>322.48</v>
      </c>
      <c r="C24" s="54">
        <v>471.55</v>
      </c>
      <c r="D24" s="54">
        <v>468.92</v>
      </c>
      <c r="E24" s="54">
        <v>515.6</v>
      </c>
      <c r="F24" s="54">
        <v>262.79000000000002</v>
      </c>
      <c r="G24" s="54">
        <v>453.77</v>
      </c>
      <c r="H24" s="54">
        <v>659.06</v>
      </c>
      <c r="I24" s="55">
        <v>4497</v>
      </c>
      <c r="J24" s="53">
        <v>2.81E-2</v>
      </c>
      <c r="L24" s="54">
        <v>262.79000000000002</v>
      </c>
      <c r="M24" s="55">
        <v>4497</v>
      </c>
      <c r="N24" s="53">
        <v>2.81E-2</v>
      </c>
      <c r="P24" s="54">
        <v>532</v>
      </c>
      <c r="Q24" s="52">
        <v>650</v>
      </c>
      <c r="R24" s="53">
        <v>4.1000000000000003E-3</v>
      </c>
      <c r="T24" s="54">
        <v>483</v>
      </c>
      <c r="U24" s="55">
        <v>2898</v>
      </c>
      <c r="V24" s="53">
        <v>1.8100000000000002E-2</v>
      </c>
      <c r="X24" s="54">
        <v>468.92</v>
      </c>
      <c r="Y24" s="55">
        <v>4497</v>
      </c>
      <c r="Z24" s="53">
        <v>2.81E-2</v>
      </c>
      <c r="AB24" s="54">
        <v>517.33000000000004</v>
      </c>
      <c r="AC24" s="55">
        <v>8998</v>
      </c>
      <c r="AD24" s="53">
        <v>2.6700000000000002E-2</v>
      </c>
      <c r="AF24" s="54">
        <v>660.29</v>
      </c>
      <c r="AG24" s="55">
        <v>4497</v>
      </c>
      <c r="AH24" s="53">
        <v>2.81E-2</v>
      </c>
      <c r="AJ24" s="54">
        <v>325.87</v>
      </c>
      <c r="AK24" s="55">
        <v>8998</v>
      </c>
      <c r="AL24" s="53">
        <v>2.6700000000000002E-2</v>
      </c>
    </row>
    <row r="25" spans="1:38" ht="17.25" thickBot="1">
      <c r="A25" s="54">
        <v>515.51</v>
      </c>
      <c r="B25" s="54">
        <v>322.72000000000003</v>
      </c>
      <c r="C25" s="54">
        <v>471.89</v>
      </c>
      <c r="D25" s="54">
        <v>469.24</v>
      </c>
      <c r="E25" s="54">
        <v>515.94000000000005</v>
      </c>
      <c r="F25" s="54">
        <v>262.92</v>
      </c>
      <c r="G25" s="54">
        <v>454.1</v>
      </c>
      <c r="H25" s="54">
        <v>659.39</v>
      </c>
      <c r="I25" s="55">
        <v>4399</v>
      </c>
      <c r="J25" s="53">
        <v>2.75E-2</v>
      </c>
      <c r="L25" s="54">
        <v>262.92</v>
      </c>
      <c r="M25" s="55">
        <v>4399</v>
      </c>
      <c r="N25" s="53">
        <v>2.75E-2</v>
      </c>
      <c r="P25" s="54">
        <v>533</v>
      </c>
      <c r="Q25" s="52">
        <v>550</v>
      </c>
      <c r="R25" s="53">
        <v>3.3999999999999998E-3</v>
      </c>
      <c r="T25" s="54">
        <v>483.5</v>
      </c>
      <c r="U25" s="55">
        <v>2700</v>
      </c>
      <c r="V25" s="53">
        <v>1.6899999999999998E-2</v>
      </c>
      <c r="X25" s="54">
        <v>469.24</v>
      </c>
      <c r="Y25" s="55">
        <v>4399</v>
      </c>
      <c r="Z25" s="53">
        <v>2.75E-2</v>
      </c>
      <c r="AB25" s="54">
        <v>517.65</v>
      </c>
      <c r="AC25" s="55">
        <v>8794</v>
      </c>
      <c r="AD25" s="53">
        <v>2.6100000000000002E-2</v>
      </c>
      <c r="AF25" s="54">
        <v>660.74</v>
      </c>
      <c r="AG25" s="55">
        <v>4399</v>
      </c>
      <c r="AH25" s="53">
        <v>2.75E-2</v>
      </c>
      <c r="AJ25" s="54">
        <v>326.06</v>
      </c>
      <c r="AK25" s="55">
        <v>8794</v>
      </c>
      <c r="AL25" s="53">
        <v>2.6100000000000002E-2</v>
      </c>
    </row>
    <row r="26" spans="1:38" ht="17.25" thickBot="1">
      <c r="A26" s="57">
        <v>515.78</v>
      </c>
      <c r="B26" s="57">
        <v>322.95</v>
      </c>
      <c r="C26" s="57">
        <v>472.23</v>
      </c>
      <c r="D26" s="57">
        <v>469.43</v>
      </c>
      <c r="E26" s="57">
        <v>516.13</v>
      </c>
      <c r="F26" s="57">
        <v>263.16000000000003</v>
      </c>
      <c r="G26" s="57">
        <v>454.43</v>
      </c>
      <c r="H26" s="57">
        <v>659.76</v>
      </c>
      <c r="I26" s="60">
        <v>4298</v>
      </c>
      <c r="J26" s="63">
        <v>2.6800000000000001E-2</v>
      </c>
      <c r="L26" s="57">
        <v>263.16000000000003</v>
      </c>
      <c r="M26" s="60">
        <v>4298</v>
      </c>
      <c r="N26" s="63">
        <v>2.6800000000000001E-2</v>
      </c>
      <c r="P26" s="113">
        <v>534</v>
      </c>
      <c r="Q26" s="114">
        <v>499</v>
      </c>
      <c r="R26" s="115">
        <v>3.0999999999999999E-3</v>
      </c>
      <c r="T26" s="57">
        <v>484</v>
      </c>
      <c r="U26" s="60">
        <v>2598</v>
      </c>
      <c r="V26" s="63">
        <v>1.6199999999999999E-2</v>
      </c>
      <c r="X26" s="57">
        <v>469.43</v>
      </c>
      <c r="Y26" s="60">
        <v>4298</v>
      </c>
      <c r="Z26" s="63">
        <v>2.6800000000000001E-2</v>
      </c>
      <c r="AB26" s="54">
        <v>517.83000000000004</v>
      </c>
      <c r="AC26" s="55">
        <v>8595</v>
      </c>
      <c r="AD26" s="53">
        <v>2.5499999999999998E-2</v>
      </c>
      <c r="AF26" s="57">
        <v>661.18</v>
      </c>
      <c r="AG26" s="60">
        <v>4298</v>
      </c>
      <c r="AH26" s="63">
        <v>2.6800000000000001E-2</v>
      </c>
      <c r="AJ26" s="54">
        <v>326.16000000000003</v>
      </c>
      <c r="AK26" s="55">
        <v>8595</v>
      </c>
      <c r="AL26" s="53">
        <v>2.5499999999999998E-2</v>
      </c>
    </row>
    <row r="27" spans="1:38" ht="17.25" thickBot="1">
      <c r="A27" s="54">
        <v>516.04999999999995</v>
      </c>
      <c r="B27" s="54">
        <v>323.04000000000002</v>
      </c>
      <c r="C27" s="54">
        <v>472.37</v>
      </c>
      <c r="D27" s="54">
        <v>469.82</v>
      </c>
      <c r="E27" s="54">
        <v>516.35</v>
      </c>
      <c r="F27" s="54">
        <v>263.27</v>
      </c>
      <c r="G27" s="54">
        <v>454.56</v>
      </c>
      <c r="H27" s="54">
        <v>660.12</v>
      </c>
      <c r="I27" s="55">
        <v>4198</v>
      </c>
      <c r="J27" s="53">
        <v>2.6200000000000001E-2</v>
      </c>
      <c r="L27" s="54">
        <v>263.27</v>
      </c>
      <c r="M27" s="55">
        <v>4198</v>
      </c>
      <c r="N27" s="53">
        <v>2.6200000000000001E-2</v>
      </c>
      <c r="P27" s="54">
        <v>535</v>
      </c>
      <c r="Q27" s="52">
        <v>400</v>
      </c>
      <c r="R27" s="53">
        <v>2.5000000000000001E-3</v>
      </c>
      <c r="T27" s="54">
        <v>484.5</v>
      </c>
      <c r="U27" s="55">
        <v>2450</v>
      </c>
      <c r="V27" s="53">
        <v>1.5299999999999999E-2</v>
      </c>
      <c r="X27" s="54">
        <v>469.82</v>
      </c>
      <c r="Y27" s="55">
        <v>4198</v>
      </c>
      <c r="Z27" s="53">
        <v>2.6200000000000001E-2</v>
      </c>
      <c r="AB27" s="113">
        <v>518.09</v>
      </c>
      <c r="AC27" s="165">
        <v>8400</v>
      </c>
      <c r="AD27" s="115">
        <v>2.4899999999999999E-2</v>
      </c>
      <c r="AF27" s="54">
        <v>661.48</v>
      </c>
      <c r="AG27" s="55">
        <v>4198</v>
      </c>
      <c r="AH27" s="53">
        <v>2.6200000000000001E-2</v>
      </c>
      <c r="AJ27" s="113">
        <v>326.27999999999997</v>
      </c>
      <c r="AK27" s="165">
        <v>8400</v>
      </c>
      <c r="AL27" s="115">
        <v>2.4899999999999999E-2</v>
      </c>
    </row>
    <row r="28" spans="1:38" ht="17.25" thickBot="1">
      <c r="A28" s="54">
        <v>516.32000000000005</v>
      </c>
      <c r="B28" s="54">
        <v>323.18</v>
      </c>
      <c r="C28" s="54">
        <v>472.58</v>
      </c>
      <c r="D28" s="54">
        <v>470.17</v>
      </c>
      <c r="E28" s="54">
        <v>516.64</v>
      </c>
      <c r="F28" s="54">
        <v>263.48</v>
      </c>
      <c r="G28" s="54">
        <v>454.75</v>
      </c>
      <c r="H28" s="54">
        <v>660.53</v>
      </c>
      <c r="I28" s="55">
        <v>4099</v>
      </c>
      <c r="J28" s="53">
        <v>2.5600000000000001E-2</v>
      </c>
      <c r="L28" s="54">
        <v>263.48</v>
      </c>
      <c r="M28" s="55">
        <v>4099</v>
      </c>
      <c r="N28" s="53">
        <v>2.5600000000000001E-2</v>
      </c>
      <c r="P28" s="56">
        <v>536</v>
      </c>
      <c r="Q28" s="61">
        <v>299</v>
      </c>
      <c r="R28" s="62">
        <v>1.9E-3</v>
      </c>
      <c r="T28" s="54">
        <v>485</v>
      </c>
      <c r="U28" s="55">
        <v>2348</v>
      </c>
      <c r="V28" s="53">
        <v>1.47E-2</v>
      </c>
      <c r="X28" s="54">
        <v>470.17</v>
      </c>
      <c r="Y28" s="55">
        <v>4099</v>
      </c>
      <c r="Z28" s="53">
        <v>2.5600000000000001E-2</v>
      </c>
      <c r="AB28" s="54">
        <v>518.35</v>
      </c>
      <c r="AC28" s="55">
        <v>8193</v>
      </c>
      <c r="AD28" s="53">
        <v>2.4299999999999999E-2</v>
      </c>
      <c r="AF28" s="54">
        <v>661.77</v>
      </c>
      <c r="AG28" s="55">
        <v>4099</v>
      </c>
      <c r="AH28" s="53">
        <v>2.5600000000000001E-2</v>
      </c>
      <c r="AJ28" s="54">
        <v>326.42</v>
      </c>
      <c r="AK28" s="55">
        <v>8193</v>
      </c>
      <c r="AL28" s="53">
        <v>2.4299999999999999E-2</v>
      </c>
    </row>
    <row r="29" spans="1:38" ht="17.25" thickBot="1">
      <c r="A29" s="56">
        <v>516.66</v>
      </c>
      <c r="B29" s="56">
        <v>323.33</v>
      </c>
      <c r="C29" s="56">
        <v>472.79</v>
      </c>
      <c r="D29" s="56">
        <v>470.54</v>
      </c>
      <c r="E29" s="56">
        <v>517.1</v>
      </c>
      <c r="F29" s="56">
        <v>263.52</v>
      </c>
      <c r="G29" s="56">
        <v>454.96</v>
      </c>
      <c r="H29" s="56">
        <v>661.06</v>
      </c>
      <c r="I29" s="58">
        <v>3998</v>
      </c>
      <c r="J29" s="62">
        <v>2.5000000000000001E-2</v>
      </c>
      <c r="L29" s="56">
        <v>263.52</v>
      </c>
      <c r="M29" s="58">
        <v>3998</v>
      </c>
      <c r="N29" s="62">
        <v>2.5000000000000001E-2</v>
      </c>
      <c r="P29" s="54">
        <v>537</v>
      </c>
      <c r="Q29" s="52">
        <v>249</v>
      </c>
      <c r="R29" s="53">
        <v>1.6000000000000001E-3</v>
      </c>
      <c r="T29" s="54">
        <v>485.5</v>
      </c>
      <c r="U29" s="55">
        <v>2248</v>
      </c>
      <c r="V29" s="53">
        <v>1.4E-2</v>
      </c>
      <c r="X29" s="56">
        <v>470.54</v>
      </c>
      <c r="Y29" s="58">
        <v>3998</v>
      </c>
      <c r="Z29" s="62">
        <v>2.5000000000000001E-2</v>
      </c>
      <c r="AB29" s="54">
        <v>518.58000000000004</v>
      </c>
      <c r="AC29" s="55">
        <v>7999</v>
      </c>
      <c r="AD29" s="53">
        <v>2.3699999999999999E-2</v>
      </c>
      <c r="AF29" s="56">
        <v>662.12</v>
      </c>
      <c r="AG29" s="58">
        <v>3998</v>
      </c>
      <c r="AH29" s="62">
        <v>2.5000000000000001E-2</v>
      </c>
      <c r="AJ29" s="54">
        <v>326.58</v>
      </c>
      <c r="AK29" s="55">
        <v>7999</v>
      </c>
      <c r="AL29" s="53">
        <v>2.3699999999999999E-2</v>
      </c>
    </row>
    <row r="30" spans="1:38" ht="17.25" thickBot="1">
      <c r="A30" s="54">
        <v>516.91</v>
      </c>
      <c r="B30" s="54">
        <v>323.56</v>
      </c>
      <c r="C30" s="54">
        <v>473.12</v>
      </c>
      <c r="D30" s="54">
        <v>470.77</v>
      </c>
      <c r="E30" s="54">
        <v>517.35</v>
      </c>
      <c r="F30" s="54">
        <v>263.82</v>
      </c>
      <c r="G30" s="54">
        <v>455.27</v>
      </c>
      <c r="H30" s="54">
        <v>661.43</v>
      </c>
      <c r="I30" s="55">
        <v>3900</v>
      </c>
      <c r="J30" s="53">
        <v>2.4400000000000002E-2</v>
      </c>
      <c r="L30" s="54">
        <v>263.82</v>
      </c>
      <c r="M30" s="55">
        <v>3900</v>
      </c>
      <c r="N30" s="53">
        <v>2.4400000000000002E-2</v>
      </c>
      <c r="P30" s="54">
        <v>538</v>
      </c>
      <c r="Q30" s="52">
        <v>200</v>
      </c>
      <c r="R30" s="53">
        <v>1.2999999999999999E-3</v>
      </c>
      <c r="T30" s="54">
        <v>486</v>
      </c>
      <c r="U30" s="55">
        <v>2150</v>
      </c>
      <c r="V30" s="53">
        <v>1.34E-2</v>
      </c>
      <c r="X30" s="54">
        <v>470.77</v>
      </c>
      <c r="Y30" s="55">
        <v>3900</v>
      </c>
      <c r="Z30" s="53">
        <v>2.4400000000000002E-2</v>
      </c>
      <c r="AB30" s="54">
        <v>518.83000000000004</v>
      </c>
      <c r="AC30" s="55">
        <v>7794</v>
      </c>
      <c r="AD30" s="53">
        <v>2.3099999999999999E-2</v>
      </c>
      <c r="AF30" s="54">
        <v>662.58</v>
      </c>
      <c r="AG30" s="55">
        <v>3900</v>
      </c>
      <c r="AH30" s="53">
        <v>2.4400000000000002E-2</v>
      </c>
      <c r="AJ30" s="54">
        <v>326.77</v>
      </c>
      <c r="AK30" s="55">
        <v>7794</v>
      </c>
      <c r="AL30" s="53">
        <v>2.3099999999999999E-2</v>
      </c>
    </row>
    <row r="31" spans="1:38" ht="17.25" thickBot="1">
      <c r="A31" s="54">
        <v>517.20000000000005</v>
      </c>
      <c r="B31" s="54">
        <v>323.74</v>
      </c>
      <c r="C31" s="54">
        <v>473.39</v>
      </c>
      <c r="D31" s="54">
        <v>471.18</v>
      </c>
      <c r="E31" s="54">
        <v>517.71</v>
      </c>
      <c r="F31" s="54">
        <v>263.91000000000003</v>
      </c>
      <c r="G31" s="54">
        <v>455.53</v>
      </c>
      <c r="H31" s="54">
        <v>661.86</v>
      </c>
      <c r="I31" s="55">
        <v>3798</v>
      </c>
      <c r="J31" s="53">
        <v>2.3699999999999999E-2</v>
      </c>
      <c r="L31" s="54">
        <v>263.91000000000003</v>
      </c>
      <c r="M31" s="55">
        <v>3798</v>
      </c>
      <c r="N31" s="53">
        <v>2.3699999999999999E-2</v>
      </c>
      <c r="P31" s="54">
        <v>539</v>
      </c>
      <c r="Q31" s="52">
        <v>175</v>
      </c>
      <c r="R31" s="53">
        <v>1.1000000000000001E-3</v>
      </c>
      <c r="T31" s="54">
        <v>486.5</v>
      </c>
      <c r="U31" s="55">
        <v>1998</v>
      </c>
      <c r="V31" s="53">
        <v>1.2500000000000001E-2</v>
      </c>
      <c r="X31" s="54">
        <v>471.18</v>
      </c>
      <c r="Y31" s="55">
        <v>3798</v>
      </c>
      <c r="Z31" s="53">
        <v>2.3699999999999999E-2</v>
      </c>
      <c r="AB31" s="54">
        <v>519.09</v>
      </c>
      <c r="AC31" s="55">
        <v>7594</v>
      </c>
      <c r="AD31" s="53">
        <v>2.2499999999999999E-2</v>
      </c>
      <c r="AF31" s="54">
        <v>662.9</v>
      </c>
      <c r="AG31" s="55">
        <v>3798</v>
      </c>
      <c r="AH31" s="53">
        <v>2.3699999999999999E-2</v>
      </c>
      <c r="AJ31" s="54">
        <v>326.88</v>
      </c>
      <c r="AK31" s="55">
        <v>7594</v>
      </c>
      <c r="AL31" s="53">
        <v>2.2499999999999999E-2</v>
      </c>
    </row>
    <row r="32" spans="1:38" ht="17.25" thickBot="1">
      <c r="A32" s="54">
        <v>517.42999999999995</v>
      </c>
      <c r="B32" s="54">
        <v>323.83999999999997</v>
      </c>
      <c r="C32" s="54">
        <v>473.52</v>
      </c>
      <c r="D32" s="54">
        <v>471.51</v>
      </c>
      <c r="E32" s="54">
        <v>518</v>
      </c>
      <c r="F32" s="54">
        <v>264.04000000000002</v>
      </c>
      <c r="G32" s="54">
        <v>455.67</v>
      </c>
      <c r="H32" s="54">
        <v>662.38</v>
      </c>
      <c r="I32" s="55">
        <v>3699</v>
      </c>
      <c r="J32" s="53">
        <v>2.3099999999999999E-2</v>
      </c>
      <c r="L32" s="54">
        <v>264.04000000000002</v>
      </c>
      <c r="M32" s="55">
        <v>3699</v>
      </c>
      <c r="N32" s="53">
        <v>2.3099999999999999E-2</v>
      </c>
      <c r="P32" s="54">
        <v>540</v>
      </c>
      <c r="Q32" s="52">
        <v>135</v>
      </c>
      <c r="R32" s="53">
        <v>8.0000000000000004E-4</v>
      </c>
      <c r="T32" s="54">
        <v>487</v>
      </c>
      <c r="U32" s="55">
        <v>1899</v>
      </c>
      <c r="V32" s="53">
        <v>1.1900000000000001E-2</v>
      </c>
      <c r="X32" s="54">
        <v>471.51</v>
      </c>
      <c r="Y32" s="55">
        <v>3699</v>
      </c>
      <c r="Z32" s="53">
        <v>2.3099999999999999E-2</v>
      </c>
      <c r="AB32" s="54">
        <v>519.36</v>
      </c>
      <c r="AC32" s="55">
        <v>7399</v>
      </c>
      <c r="AD32" s="53">
        <v>2.1899999999999999E-2</v>
      </c>
      <c r="AF32" s="54">
        <v>663.18</v>
      </c>
      <c r="AG32" s="55">
        <v>3699</v>
      </c>
      <c r="AH32" s="53">
        <v>2.3099999999999999E-2</v>
      </c>
      <c r="AJ32" s="54">
        <v>327.08999999999997</v>
      </c>
      <c r="AK32" s="55">
        <v>7399</v>
      </c>
      <c r="AL32" s="53">
        <v>2.1899999999999999E-2</v>
      </c>
    </row>
    <row r="33" spans="1:38" ht="17.25" thickBot="1">
      <c r="A33" s="54">
        <v>517.75</v>
      </c>
      <c r="B33" s="54">
        <v>324.05</v>
      </c>
      <c r="C33" s="54">
        <v>473.83</v>
      </c>
      <c r="D33" s="54">
        <v>471.82</v>
      </c>
      <c r="E33" s="54">
        <v>518.36</v>
      </c>
      <c r="F33" s="54">
        <v>264.23</v>
      </c>
      <c r="G33" s="54">
        <v>455.96</v>
      </c>
      <c r="H33" s="54">
        <v>662.91</v>
      </c>
      <c r="I33" s="55">
        <v>3598</v>
      </c>
      <c r="J33" s="53">
        <v>2.2499999999999999E-2</v>
      </c>
      <c r="L33" s="54">
        <v>264.23</v>
      </c>
      <c r="M33" s="55">
        <v>3598</v>
      </c>
      <c r="N33" s="53">
        <v>2.2499999999999999E-2</v>
      </c>
      <c r="P33" s="54">
        <v>541</v>
      </c>
      <c r="Q33" s="52">
        <v>90</v>
      </c>
      <c r="R33" s="53">
        <v>5.9999999999999995E-4</v>
      </c>
      <c r="T33" s="54">
        <v>487.5</v>
      </c>
      <c r="U33" s="55">
        <v>1800</v>
      </c>
      <c r="V33" s="53">
        <v>1.12E-2</v>
      </c>
      <c r="X33" s="54">
        <v>471.82</v>
      </c>
      <c r="Y33" s="55">
        <v>3598</v>
      </c>
      <c r="Z33" s="53">
        <v>2.2499999999999999E-2</v>
      </c>
      <c r="AB33" s="54">
        <v>519.52</v>
      </c>
      <c r="AC33" s="55">
        <v>7194</v>
      </c>
      <c r="AD33" s="53">
        <v>2.1299999999999999E-2</v>
      </c>
      <c r="AF33" s="54">
        <v>663.55</v>
      </c>
      <c r="AG33" s="55">
        <v>3598</v>
      </c>
      <c r="AH33" s="53">
        <v>2.2499999999999999E-2</v>
      </c>
      <c r="AJ33" s="54">
        <v>327.24</v>
      </c>
      <c r="AK33" s="55">
        <v>7194</v>
      </c>
      <c r="AL33" s="53">
        <v>2.1299999999999999E-2</v>
      </c>
    </row>
    <row r="34" spans="1:38" ht="17.25" thickBot="1">
      <c r="A34" s="54">
        <v>518.05999999999995</v>
      </c>
      <c r="B34" s="54">
        <v>324.23</v>
      </c>
      <c r="C34" s="54">
        <v>474.11</v>
      </c>
      <c r="D34" s="54">
        <v>472.25</v>
      </c>
      <c r="E34" s="54">
        <v>518.72</v>
      </c>
      <c r="F34" s="54">
        <v>264.52</v>
      </c>
      <c r="G34" s="54">
        <v>456.22</v>
      </c>
      <c r="H34" s="54">
        <v>663.25</v>
      </c>
      <c r="I34" s="55">
        <v>3499</v>
      </c>
      <c r="J34" s="53">
        <v>2.18E-2</v>
      </c>
      <c r="L34" s="54">
        <v>264.52</v>
      </c>
      <c r="M34" s="55">
        <v>3499</v>
      </c>
      <c r="N34" s="53">
        <v>2.18E-2</v>
      </c>
      <c r="P34" s="54">
        <v>542</v>
      </c>
      <c r="Q34" s="52">
        <v>60</v>
      </c>
      <c r="R34" s="53">
        <v>4.0000000000000002E-4</v>
      </c>
      <c r="T34" s="54">
        <v>488</v>
      </c>
      <c r="U34" s="55">
        <v>1649</v>
      </c>
      <c r="V34" s="53">
        <v>1.03E-2</v>
      </c>
      <c r="X34" s="54">
        <v>472.25</v>
      </c>
      <c r="Y34" s="55">
        <v>3499</v>
      </c>
      <c r="Z34" s="53">
        <v>2.18E-2</v>
      </c>
      <c r="AB34" s="54">
        <v>519.78</v>
      </c>
      <c r="AC34" s="55">
        <v>6995</v>
      </c>
      <c r="AD34" s="53">
        <v>2.07E-2</v>
      </c>
      <c r="AF34" s="54">
        <v>663.97</v>
      </c>
      <c r="AG34" s="55">
        <v>3499</v>
      </c>
      <c r="AH34" s="53">
        <v>2.18E-2</v>
      </c>
      <c r="AJ34" s="54">
        <v>327.49</v>
      </c>
      <c r="AK34" s="55">
        <v>6995</v>
      </c>
      <c r="AL34" s="53">
        <v>2.07E-2</v>
      </c>
    </row>
    <row r="35" spans="1:38" ht="17.25" thickBot="1">
      <c r="A35" s="54">
        <v>518.42999999999995</v>
      </c>
      <c r="B35" s="54">
        <v>324.47000000000003</v>
      </c>
      <c r="C35" s="54">
        <v>474.46</v>
      </c>
      <c r="D35" s="54">
        <v>472.54</v>
      </c>
      <c r="E35" s="54">
        <v>519.09</v>
      </c>
      <c r="F35" s="54">
        <v>264.70999999999998</v>
      </c>
      <c r="G35" s="54">
        <v>456.55</v>
      </c>
      <c r="H35" s="54">
        <v>663.72</v>
      </c>
      <c r="I35" s="55">
        <v>3400</v>
      </c>
      <c r="J35" s="53">
        <v>2.12E-2</v>
      </c>
      <c r="L35" s="54">
        <v>264.70999999999998</v>
      </c>
      <c r="M35" s="55">
        <v>3400</v>
      </c>
      <c r="N35" s="53">
        <v>2.12E-2</v>
      </c>
      <c r="P35" s="54">
        <v>543</v>
      </c>
      <c r="Q35" s="52">
        <v>45</v>
      </c>
      <c r="R35" s="53">
        <v>2.9999999999999997E-4</v>
      </c>
      <c r="T35" s="54">
        <v>488.5</v>
      </c>
      <c r="U35" s="55">
        <v>1549</v>
      </c>
      <c r="V35" s="53">
        <v>9.7000000000000003E-3</v>
      </c>
      <c r="X35" s="54">
        <v>472.54</v>
      </c>
      <c r="Y35" s="55">
        <v>3400</v>
      </c>
      <c r="Z35" s="53">
        <v>2.12E-2</v>
      </c>
      <c r="AB35" s="56">
        <v>520.13</v>
      </c>
      <c r="AC35" s="58">
        <v>6794</v>
      </c>
      <c r="AD35" s="62">
        <v>2.0199999999999999E-2</v>
      </c>
      <c r="AF35" s="54">
        <v>664.41</v>
      </c>
      <c r="AG35" s="55">
        <v>3400</v>
      </c>
      <c r="AH35" s="53">
        <v>2.12E-2</v>
      </c>
      <c r="AJ35" s="56">
        <v>327.63</v>
      </c>
      <c r="AK35" s="58">
        <v>6794</v>
      </c>
      <c r="AL35" s="62">
        <v>2.0199999999999999E-2</v>
      </c>
    </row>
    <row r="36" spans="1:38" ht="17.25" thickBot="1">
      <c r="A36" s="54">
        <v>518.78</v>
      </c>
      <c r="B36" s="54">
        <v>324.7</v>
      </c>
      <c r="C36" s="54">
        <v>474.8</v>
      </c>
      <c r="D36" s="54">
        <v>472.98</v>
      </c>
      <c r="E36" s="54">
        <v>519.38</v>
      </c>
      <c r="F36" s="54">
        <v>264.83999999999997</v>
      </c>
      <c r="G36" s="54">
        <v>456.88</v>
      </c>
      <c r="H36" s="54">
        <v>664.24</v>
      </c>
      <c r="I36" s="55">
        <v>3299</v>
      </c>
      <c r="J36" s="53">
        <v>2.06E-2</v>
      </c>
      <c r="L36" s="54">
        <v>264.83999999999997</v>
      </c>
      <c r="M36" s="55">
        <v>3299</v>
      </c>
      <c r="N36" s="53">
        <v>2.06E-2</v>
      </c>
      <c r="P36" s="54">
        <v>544</v>
      </c>
      <c r="Q36" s="52">
        <v>30</v>
      </c>
      <c r="R36" s="53">
        <v>2.0000000000000001E-4</v>
      </c>
      <c r="T36" s="54">
        <v>489</v>
      </c>
      <c r="U36" s="55">
        <v>1450</v>
      </c>
      <c r="V36" s="53">
        <v>9.1000000000000004E-3</v>
      </c>
      <c r="X36" s="54">
        <v>472.98</v>
      </c>
      <c r="Y36" s="55">
        <v>3299</v>
      </c>
      <c r="Z36" s="53">
        <v>2.06E-2</v>
      </c>
      <c r="AB36" s="54">
        <v>520.41999999999996</v>
      </c>
      <c r="AC36" s="55">
        <v>6599</v>
      </c>
      <c r="AD36" s="53">
        <v>1.9599999999999999E-2</v>
      </c>
      <c r="AF36" s="54">
        <v>664.86</v>
      </c>
      <c r="AG36" s="55">
        <v>3299</v>
      </c>
      <c r="AH36" s="53">
        <v>2.06E-2</v>
      </c>
      <c r="AJ36" s="54">
        <v>327.8</v>
      </c>
      <c r="AK36" s="55">
        <v>6599</v>
      </c>
      <c r="AL36" s="53">
        <v>1.9599999999999999E-2</v>
      </c>
    </row>
    <row r="37" spans="1:38" ht="17.25" thickBot="1">
      <c r="A37" s="56">
        <v>519.13</v>
      </c>
      <c r="B37" s="56">
        <v>324.89</v>
      </c>
      <c r="C37" s="56">
        <v>475.09</v>
      </c>
      <c r="D37" s="56">
        <v>473.22</v>
      </c>
      <c r="E37" s="56">
        <v>519.62</v>
      </c>
      <c r="F37" s="56">
        <v>264.98</v>
      </c>
      <c r="G37" s="56">
        <v>457.14</v>
      </c>
      <c r="H37" s="56">
        <v>664.58</v>
      </c>
      <c r="I37" s="58">
        <v>3200</v>
      </c>
      <c r="J37" s="62">
        <v>0.02</v>
      </c>
      <c r="L37" s="56">
        <v>264.98</v>
      </c>
      <c r="M37" s="58">
        <v>3200</v>
      </c>
      <c r="N37" s="62">
        <v>0.02</v>
      </c>
      <c r="P37" s="54">
        <v>545</v>
      </c>
      <c r="Q37" s="52">
        <v>15</v>
      </c>
      <c r="R37" s="53">
        <v>1E-4</v>
      </c>
      <c r="T37" s="54">
        <v>489.5</v>
      </c>
      <c r="U37" s="55">
        <v>1350</v>
      </c>
      <c r="V37" s="53">
        <v>8.3999999999999995E-3</v>
      </c>
      <c r="X37" s="56">
        <v>473.22</v>
      </c>
      <c r="Y37" s="58">
        <v>3200</v>
      </c>
      <c r="Z37" s="62">
        <v>0.02</v>
      </c>
      <c r="AB37" s="54">
        <v>520.76</v>
      </c>
      <c r="AC37" s="55">
        <v>6396</v>
      </c>
      <c r="AD37" s="53">
        <v>1.9E-2</v>
      </c>
      <c r="AF37" s="56">
        <v>665.31</v>
      </c>
      <c r="AG37" s="58">
        <v>3200</v>
      </c>
      <c r="AH37" s="62">
        <v>0.02</v>
      </c>
      <c r="AJ37" s="54">
        <v>328</v>
      </c>
      <c r="AK37" s="55">
        <v>6396</v>
      </c>
      <c r="AL37" s="53">
        <v>1.9E-2</v>
      </c>
    </row>
    <row r="38" spans="1:38" ht="17.25" thickBot="1">
      <c r="A38" s="54">
        <v>519.47</v>
      </c>
      <c r="B38" s="54">
        <v>325.08999999999997</v>
      </c>
      <c r="C38" s="54">
        <v>475.35</v>
      </c>
      <c r="D38" s="54">
        <v>473.63</v>
      </c>
      <c r="E38" s="54">
        <v>519.96</v>
      </c>
      <c r="F38" s="54">
        <v>265.45999999999998</v>
      </c>
      <c r="G38" s="54">
        <v>457.41</v>
      </c>
      <c r="H38" s="54">
        <v>665.1</v>
      </c>
      <c r="I38" s="55">
        <v>3098</v>
      </c>
      <c r="J38" s="53">
        <v>1.9300000000000001E-2</v>
      </c>
      <c r="L38" s="54">
        <v>265.45999999999998</v>
      </c>
      <c r="M38" s="55">
        <v>3098</v>
      </c>
      <c r="N38" s="53">
        <v>1.9300000000000001E-2</v>
      </c>
      <c r="T38" s="54">
        <v>490</v>
      </c>
      <c r="U38" s="55">
        <v>1248</v>
      </c>
      <c r="V38" s="53">
        <v>7.7999999999999996E-3</v>
      </c>
      <c r="X38" s="54">
        <v>473.63</v>
      </c>
      <c r="Y38" s="55">
        <v>3098</v>
      </c>
      <c r="Z38" s="53">
        <v>1.9300000000000001E-2</v>
      </c>
      <c r="AB38" s="54">
        <v>521.15</v>
      </c>
      <c r="AC38" s="55">
        <v>6199</v>
      </c>
      <c r="AD38" s="53">
        <v>1.84E-2</v>
      </c>
      <c r="AF38" s="54">
        <v>665.69</v>
      </c>
      <c r="AG38" s="55">
        <v>3098</v>
      </c>
      <c r="AH38" s="53">
        <v>1.9300000000000001E-2</v>
      </c>
      <c r="AJ38" s="54">
        <v>328.2</v>
      </c>
      <c r="AK38" s="55">
        <v>6199</v>
      </c>
      <c r="AL38" s="53">
        <v>1.84E-2</v>
      </c>
    </row>
    <row r="39" spans="1:38" ht="17.25" thickBot="1">
      <c r="A39" s="54">
        <v>519.73</v>
      </c>
      <c r="B39" s="54">
        <v>325.3</v>
      </c>
      <c r="C39" s="54">
        <v>475.66</v>
      </c>
      <c r="D39" s="54">
        <v>473.9</v>
      </c>
      <c r="E39" s="54">
        <v>520.34</v>
      </c>
      <c r="F39" s="54">
        <v>265.54000000000002</v>
      </c>
      <c r="G39" s="54">
        <v>457.71</v>
      </c>
      <c r="H39" s="54">
        <v>665.46</v>
      </c>
      <c r="I39" s="55">
        <v>3000</v>
      </c>
      <c r="J39" s="53">
        <v>1.8700000000000001E-2</v>
      </c>
      <c r="L39" s="54">
        <v>265.54000000000002</v>
      </c>
      <c r="M39" s="55">
        <v>3000</v>
      </c>
      <c r="N39" s="53">
        <v>1.8700000000000001E-2</v>
      </c>
      <c r="T39" s="54">
        <v>490.5</v>
      </c>
      <c r="U39" s="55">
        <v>1149</v>
      </c>
      <c r="V39" s="53">
        <v>7.1999999999999998E-3</v>
      </c>
      <c r="X39" s="54">
        <v>473.9</v>
      </c>
      <c r="Y39" s="55">
        <v>3000</v>
      </c>
      <c r="Z39" s="53">
        <v>1.8700000000000001E-2</v>
      </c>
      <c r="AB39" s="54">
        <v>521.5</v>
      </c>
      <c r="AC39" s="55">
        <v>5996</v>
      </c>
      <c r="AD39" s="53">
        <v>1.78E-2</v>
      </c>
      <c r="AF39" s="54">
        <v>666.09</v>
      </c>
      <c r="AG39" s="55">
        <v>3000</v>
      </c>
      <c r="AH39" s="53">
        <v>1.8700000000000001E-2</v>
      </c>
      <c r="AJ39" s="54">
        <v>328.35</v>
      </c>
      <c r="AK39" s="55">
        <v>5996</v>
      </c>
      <c r="AL39" s="53">
        <v>1.78E-2</v>
      </c>
    </row>
    <row r="40" spans="1:38" ht="17.25" thickBot="1">
      <c r="A40" s="54">
        <v>520.08000000000004</v>
      </c>
      <c r="B40" s="54">
        <v>325.48</v>
      </c>
      <c r="C40" s="54">
        <v>475.93</v>
      </c>
      <c r="D40" s="54">
        <v>474.25</v>
      </c>
      <c r="E40" s="54">
        <v>520.6</v>
      </c>
      <c r="F40" s="54">
        <v>265.8</v>
      </c>
      <c r="G40" s="54">
        <v>457.97</v>
      </c>
      <c r="H40" s="54">
        <v>665.96</v>
      </c>
      <c r="I40" s="55">
        <v>2898</v>
      </c>
      <c r="J40" s="53">
        <v>1.8100000000000002E-2</v>
      </c>
      <c r="L40" s="54">
        <v>265.8</v>
      </c>
      <c r="M40" s="55">
        <v>2898</v>
      </c>
      <c r="N40" s="53">
        <v>1.8100000000000002E-2</v>
      </c>
      <c r="T40" s="54">
        <v>491</v>
      </c>
      <c r="U40" s="55">
        <v>1099</v>
      </c>
      <c r="V40" s="53">
        <v>6.8999999999999999E-3</v>
      </c>
      <c r="X40" s="54">
        <v>474.25</v>
      </c>
      <c r="Y40" s="55">
        <v>2898</v>
      </c>
      <c r="Z40" s="53">
        <v>1.8100000000000002E-2</v>
      </c>
      <c r="AB40" s="54">
        <v>521.88</v>
      </c>
      <c r="AC40" s="55">
        <v>5800</v>
      </c>
      <c r="AD40" s="53">
        <v>1.72E-2</v>
      </c>
      <c r="AF40" s="54">
        <v>666.45</v>
      </c>
      <c r="AG40" s="55">
        <v>2898</v>
      </c>
      <c r="AH40" s="53">
        <v>1.8100000000000002E-2</v>
      </c>
      <c r="AJ40" s="54">
        <v>328.6</v>
      </c>
      <c r="AK40" s="55">
        <v>5800</v>
      </c>
      <c r="AL40" s="53">
        <v>1.72E-2</v>
      </c>
    </row>
    <row r="41" spans="1:38" ht="17.25" thickBot="1">
      <c r="A41" s="54">
        <v>520.46</v>
      </c>
      <c r="B41" s="54">
        <v>325.72000000000003</v>
      </c>
      <c r="C41" s="54">
        <v>476.3</v>
      </c>
      <c r="D41" s="54">
        <v>474.53</v>
      </c>
      <c r="E41" s="54">
        <v>520.89</v>
      </c>
      <c r="F41" s="54">
        <v>265.93</v>
      </c>
      <c r="G41" s="54">
        <v>458.31</v>
      </c>
      <c r="H41" s="54">
        <v>666.68</v>
      </c>
      <c r="I41" s="55">
        <v>2800</v>
      </c>
      <c r="J41" s="53">
        <v>1.7500000000000002E-2</v>
      </c>
      <c r="L41" s="54">
        <v>265.93</v>
      </c>
      <c r="M41" s="55">
        <v>2800</v>
      </c>
      <c r="N41" s="53">
        <v>1.7500000000000002E-2</v>
      </c>
      <c r="T41" s="54">
        <v>491.5</v>
      </c>
      <c r="U41" s="52">
        <v>999</v>
      </c>
      <c r="V41" s="53">
        <v>6.1999999999999998E-3</v>
      </c>
      <c r="X41" s="54">
        <v>474.53</v>
      </c>
      <c r="Y41" s="55">
        <v>2800</v>
      </c>
      <c r="Z41" s="53">
        <v>1.7500000000000002E-2</v>
      </c>
      <c r="AB41" s="54">
        <v>522.25</v>
      </c>
      <c r="AC41" s="55">
        <v>5598</v>
      </c>
      <c r="AD41" s="53">
        <v>1.66E-2</v>
      </c>
      <c r="AF41" s="54">
        <v>667.02</v>
      </c>
      <c r="AG41" s="55">
        <v>2800</v>
      </c>
      <c r="AH41" s="53">
        <v>1.7500000000000002E-2</v>
      </c>
      <c r="AJ41" s="54">
        <v>328.76</v>
      </c>
      <c r="AK41" s="55">
        <v>5598</v>
      </c>
      <c r="AL41" s="53">
        <v>1.66E-2</v>
      </c>
    </row>
    <row r="42" spans="1:38" ht="17.25" thickBot="1">
      <c r="A42" s="57">
        <v>520.79999999999995</v>
      </c>
      <c r="B42" s="57">
        <v>325.93</v>
      </c>
      <c r="C42" s="57">
        <v>476.56</v>
      </c>
      <c r="D42" s="57">
        <v>474.93</v>
      </c>
      <c r="E42" s="57">
        <v>521.29999999999995</v>
      </c>
      <c r="F42" s="57">
        <v>266.26</v>
      </c>
      <c r="G42" s="57">
        <v>458.55</v>
      </c>
      <c r="H42" s="57">
        <v>667.33</v>
      </c>
      <c r="I42" s="60">
        <v>2700</v>
      </c>
      <c r="J42" s="63">
        <v>1.6899999999999998E-2</v>
      </c>
      <c r="L42" s="57">
        <v>266.26</v>
      </c>
      <c r="M42" s="60">
        <v>2700</v>
      </c>
      <c r="N42" s="63">
        <v>1.6899999999999998E-2</v>
      </c>
      <c r="T42" s="57">
        <v>492</v>
      </c>
      <c r="U42" s="59">
        <v>949</v>
      </c>
      <c r="V42" s="63">
        <v>5.8999999999999999E-3</v>
      </c>
      <c r="X42" s="57">
        <v>474.93</v>
      </c>
      <c r="Y42" s="60">
        <v>2700</v>
      </c>
      <c r="Z42" s="63">
        <v>1.6899999999999998E-2</v>
      </c>
      <c r="AB42" s="54">
        <v>522.59</v>
      </c>
      <c r="AC42" s="55">
        <v>5397</v>
      </c>
      <c r="AD42" s="53">
        <v>1.6E-2</v>
      </c>
      <c r="AF42" s="57">
        <v>667.37</v>
      </c>
      <c r="AG42" s="60">
        <v>2700</v>
      </c>
      <c r="AH42" s="63">
        <v>1.6899999999999998E-2</v>
      </c>
      <c r="AJ42" s="54">
        <v>329.02</v>
      </c>
      <c r="AK42" s="55">
        <v>5397</v>
      </c>
      <c r="AL42" s="53">
        <v>1.6E-2</v>
      </c>
    </row>
    <row r="43" spans="1:38" ht="17.25" thickBot="1">
      <c r="A43" s="54">
        <v>521.03</v>
      </c>
      <c r="B43" s="54">
        <v>326.25</v>
      </c>
      <c r="C43" s="54">
        <v>477.06</v>
      </c>
      <c r="D43" s="54">
        <v>475.24</v>
      </c>
      <c r="E43" s="54">
        <v>521.70000000000005</v>
      </c>
      <c r="F43" s="54">
        <v>266.27</v>
      </c>
      <c r="G43" s="54">
        <v>459.04</v>
      </c>
      <c r="H43" s="54">
        <v>667.88</v>
      </c>
      <c r="I43" s="55">
        <v>2598</v>
      </c>
      <c r="J43" s="53">
        <v>1.6199999999999999E-2</v>
      </c>
      <c r="L43" s="54">
        <v>266.27</v>
      </c>
      <c r="M43" s="55">
        <v>2598</v>
      </c>
      <c r="N43" s="53">
        <v>1.6199999999999999E-2</v>
      </c>
      <c r="T43" s="54">
        <v>492.5</v>
      </c>
      <c r="U43" s="52">
        <v>849</v>
      </c>
      <c r="V43" s="53">
        <v>5.3E-3</v>
      </c>
      <c r="X43" s="54">
        <v>475.24</v>
      </c>
      <c r="Y43" s="55">
        <v>2598</v>
      </c>
      <c r="Z43" s="53">
        <v>1.6199999999999999E-2</v>
      </c>
      <c r="AB43" s="54">
        <v>522.84</v>
      </c>
      <c r="AC43" s="55">
        <v>5196</v>
      </c>
      <c r="AD43" s="53">
        <v>1.54E-2</v>
      </c>
      <c r="AF43" s="54">
        <v>668.01</v>
      </c>
      <c r="AG43" s="55">
        <v>2598</v>
      </c>
      <c r="AH43" s="53">
        <v>1.6199999999999999E-2</v>
      </c>
      <c r="AJ43" s="54">
        <v>329.23</v>
      </c>
      <c r="AK43" s="55">
        <v>5196</v>
      </c>
      <c r="AL43" s="53">
        <v>1.54E-2</v>
      </c>
    </row>
    <row r="44" spans="1:38" ht="17.25" thickBot="1">
      <c r="A44" s="54">
        <v>521.38</v>
      </c>
      <c r="B44" s="54">
        <v>326.47000000000003</v>
      </c>
      <c r="C44" s="54">
        <v>477.38</v>
      </c>
      <c r="D44" s="54">
        <v>475.48</v>
      </c>
      <c r="E44" s="54">
        <v>522.12</v>
      </c>
      <c r="F44" s="54">
        <v>266.64</v>
      </c>
      <c r="G44" s="54">
        <v>459.36</v>
      </c>
      <c r="H44" s="54">
        <v>668.29</v>
      </c>
      <c r="I44" s="55">
        <v>2500</v>
      </c>
      <c r="J44" s="53">
        <v>1.5599999999999999E-2</v>
      </c>
      <c r="L44" s="54">
        <v>266.64</v>
      </c>
      <c r="M44" s="55">
        <v>2500</v>
      </c>
      <c r="N44" s="53">
        <v>1.5599999999999999E-2</v>
      </c>
      <c r="T44" s="56">
        <v>493</v>
      </c>
      <c r="U44" s="61">
        <v>800</v>
      </c>
      <c r="V44" s="62">
        <v>5.0000000000000001E-3</v>
      </c>
      <c r="X44" s="54">
        <v>475.48</v>
      </c>
      <c r="Y44" s="55">
        <v>2500</v>
      </c>
      <c r="Z44" s="53">
        <v>1.5599999999999999E-2</v>
      </c>
      <c r="AB44" s="113">
        <v>523.24</v>
      </c>
      <c r="AC44" s="165">
        <v>4998</v>
      </c>
      <c r="AD44" s="115">
        <v>1.4800000000000001E-2</v>
      </c>
      <c r="AF44" s="54">
        <v>668.39</v>
      </c>
      <c r="AG44" s="55">
        <v>2500</v>
      </c>
      <c r="AH44" s="53">
        <v>1.5599999999999999E-2</v>
      </c>
      <c r="AJ44" s="113">
        <v>329.4</v>
      </c>
      <c r="AK44" s="165">
        <v>4998</v>
      </c>
      <c r="AL44" s="115">
        <v>1.4800000000000001E-2</v>
      </c>
    </row>
    <row r="45" spans="1:38" ht="17.25" thickBot="1">
      <c r="A45" s="54">
        <v>521.6</v>
      </c>
      <c r="B45" s="54">
        <v>326.52999999999997</v>
      </c>
      <c r="C45" s="54">
        <v>477.46</v>
      </c>
      <c r="D45" s="54">
        <v>475.86</v>
      </c>
      <c r="E45" s="54">
        <v>522.25</v>
      </c>
      <c r="F45" s="54">
        <v>266.82</v>
      </c>
      <c r="G45" s="54">
        <v>459.43</v>
      </c>
      <c r="H45" s="54">
        <v>668.53</v>
      </c>
      <c r="I45" s="55">
        <v>2450</v>
      </c>
      <c r="J45" s="53">
        <v>1.5299999999999999E-2</v>
      </c>
      <c r="L45" s="56">
        <v>266.82</v>
      </c>
      <c r="M45" s="58">
        <v>2400</v>
      </c>
      <c r="N45" s="62">
        <v>1.4999999999999999E-2</v>
      </c>
      <c r="T45" s="54">
        <v>493.5</v>
      </c>
      <c r="U45" s="52">
        <v>700</v>
      </c>
      <c r="V45" s="53">
        <v>4.4000000000000003E-3</v>
      </c>
      <c r="X45" s="54">
        <v>475.86</v>
      </c>
      <c r="Y45" s="55">
        <v>2450</v>
      </c>
      <c r="Z45" s="53">
        <v>1.5299999999999999E-2</v>
      </c>
      <c r="AB45" s="54">
        <v>523.42999999999995</v>
      </c>
      <c r="AC45" s="55">
        <v>4900</v>
      </c>
      <c r="AD45" s="53">
        <v>1.4500000000000001E-2</v>
      </c>
      <c r="AF45" s="54">
        <v>668.62</v>
      </c>
      <c r="AG45" s="55">
        <v>2450</v>
      </c>
      <c r="AH45" s="53">
        <v>1.5299999999999999E-2</v>
      </c>
      <c r="AJ45" s="54">
        <v>329.47</v>
      </c>
      <c r="AK45" s="55">
        <v>4900</v>
      </c>
      <c r="AL45" s="53">
        <v>1.4500000000000001E-2</v>
      </c>
    </row>
    <row r="46" spans="1:38" ht="17.25" thickBot="1">
      <c r="A46" s="56">
        <v>521.86</v>
      </c>
      <c r="B46" s="56">
        <v>326.67</v>
      </c>
      <c r="C46" s="56">
        <v>477.67</v>
      </c>
      <c r="D46" s="56">
        <v>476</v>
      </c>
      <c r="E46" s="56">
        <v>522.41</v>
      </c>
      <c r="F46" s="56">
        <v>266.82</v>
      </c>
      <c r="G46" s="56">
        <v>459.63</v>
      </c>
      <c r="H46" s="56">
        <v>668.73</v>
      </c>
      <c r="I46" s="58">
        <v>2400</v>
      </c>
      <c r="J46" s="62">
        <v>1.4999999999999999E-2</v>
      </c>
      <c r="L46" s="54">
        <v>266.93</v>
      </c>
      <c r="M46" s="55">
        <v>2348</v>
      </c>
      <c r="N46" s="53">
        <v>1.47E-2</v>
      </c>
      <c r="T46" s="54">
        <v>494</v>
      </c>
      <c r="U46" s="52">
        <v>650</v>
      </c>
      <c r="V46" s="53">
        <v>4.1000000000000003E-3</v>
      </c>
      <c r="X46" s="56">
        <v>476</v>
      </c>
      <c r="Y46" s="58">
        <v>2400</v>
      </c>
      <c r="Z46" s="62">
        <v>1.4999999999999999E-2</v>
      </c>
      <c r="AB46" s="54">
        <v>523.66</v>
      </c>
      <c r="AC46" s="55">
        <v>4797</v>
      </c>
      <c r="AD46" s="53">
        <v>1.4200000000000001E-2</v>
      </c>
      <c r="AF46" s="56">
        <v>668.91</v>
      </c>
      <c r="AG46" s="58">
        <v>2400</v>
      </c>
      <c r="AH46" s="62">
        <v>1.4999999999999999E-2</v>
      </c>
      <c r="AJ46" s="54">
        <v>329.63</v>
      </c>
      <c r="AK46" s="55">
        <v>4797</v>
      </c>
      <c r="AL46" s="53">
        <v>1.4200000000000001E-2</v>
      </c>
    </row>
    <row r="47" spans="1:38" ht="17.25" thickBot="1">
      <c r="A47" s="54">
        <v>522.11</v>
      </c>
      <c r="B47" s="54">
        <v>326.76</v>
      </c>
      <c r="C47" s="54">
        <v>477.81</v>
      </c>
      <c r="D47" s="54">
        <v>476.16</v>
      </c>
      <c r="E47" s="54">
        <v>522.62</v>
      </c>
      <c r="F47" s="54">
        <v>266.93</v>
      </c>
      <c r="G47" s="54">
        <v>459.76</v>
      </c>
      <c r="H47" s="54">
        <v>668.97</v>
      </c>
      <c r="I47" s="55">
        <v>2348</v>
      </c>
      <c r="J47" s="53">
        <v>1.47E-2</v>
      </c>
      <c r="L47" s="54">
        <v>267.08</v>
      </c>
      <c r="M47" s="55">
        <v>2299</v>
      </c>
      <c r="N47" s="53">
        <v>1.44E-2</v>
      </c>
      <c r="T47" s="54">
        <v>494.5</v>
      </c>
      <c r="U47" s="52">
        <v>600</v>
      </c>
      <c r="V47" s="53">
        <v>3.7000000000000002E-3</v>
      </c>
      <c r="X47" s="54">
        <v>476.16</v>
      </c>
      <c r="Y47" s="55">
        <v>2348</v>
      </c>
      <c r="Z47" s="53">
        <v>1.47E-2</v>
      </c>
      <c r="AB47" s="54">
        <v>523.9</v>
      </c>
      <c r="AC47" s="55">
        <v>4700</v>
      </c>
      <c r="AD47" s="53">
        <v>1.3899999999999999E-2</v>
      </c>
      <c r="AF47" s="54">
        <v>669.13</v>
      </c>
      <c r="AG47" s="55">
        <v>2348</v>
      </c>
      <c r="AH47" s="53">
        <v>1.47E-2</v>
      </c>
      <c r="AJ47" s="54">
        <v>329.73</v>
      </c>
      <c r="AK47" s="55">
        <v>4700</v>
      </c>
      <c r="AL47" s="53">
        <v>1.3899999999999999E-2</v>
      </c>
    </row>
    <row r="48" spans="1:38" ht="17.25" thickBot="1">
      <c r="A48" s="54">
        <v>522.26</v>
      </c>
      <c r="B48" s="54">
        <v>326.83</v>
      </c>
      <c r="C48" s="54">
        <v>477.9</v>
      </c>
      <c r="D48" s="54">
        <v>476.38</v>
      </c>
      <c r="E48" s="54">
        <v>522.91</v>
      </c>
      <c r="F48" s="54">
        <v>267.08</v>
      </c>
      <c r="G48" s="54">
        <v>459.86</v>
      </c>
      <c r="H48" s="54">
        <v>669.13</v>
      </c>
      <c r="I48" s="55">
        <v>2299</v>
      </c>
      <c r="J48" s="53">
        <v>1.44E-2</v>
      </c>
      <c r="L48" s="54">
        <v>267.2</v>
      </c>
      <c r="M48" s="55">
        <v>2248</v>
      </c>
      <c r="N48" s="53">
        <v>1.4E-2</v>
      </c>
      <c r="T48" s="54">
        <v>495</v>
      </c>
      <c r="U48" s="52">
        <v>550</v>
      </c>
      <c r="V48" s="53">
        <v>3.3999999999999998E-3</v>
      </c>
      <c r="X48" s="54">
        <v>476.38</v>
      </c>
      <c r="Y48" s="55">
        <v>2299</v>
      </c>
      <c r="Z48" s="53">
        <v>1.44E-2</v>
      </c>
      <c r="AB48" s="54">
        <v>524.1</v>
      </c>
      <c r="AC48" s="55">
        <v>4598</v>
      </c>
      <c r="AD48" s="53">
        <v>1.3599999999999999E-2</v>
      </c>
      <c r="AF48" s="54">
        <v>669.3</v>
      </c>
      <c r="AG48" s="55">
        <v>2299</v>
      </c>
      <c r="AH48" s="53">
        <v>1.44E-2</v>
      </c>
      <c r="AJ48" s="54">
        <v>329.78</v>
      </c>
      <c r="AK48" s="55">
        <v>4598</v>
      </c>
      <c r="AL48" s="53">
        <v>1.3599999999999999E-2</v>
      </c>
    </row>
    <row r="49" spans="1:38" ht="17.25" thickBot="1">
      <c r="A49" s="54">
        <v>522.54</v>
      </c>
      <c r="B49" s="54">
        <v>327.02</v>
      </c>
      <c r="C49" s="54">
        <v>478.15</v>
      </c>
      <c r="D49" s="54">
        <v>476.57</v>
      </c>
      <c r="E49" s="54">
        <v>523.1</v>
      </c>
      <c r="F49" s="54">
        <v>267.2</v>
      </c>
      <c r="G49" s="54">
        <v>460.09</v>
      </c>
      <c r="H49" s="54">
        <v>669.45</v>
      </c>
      <c r="I49" s="55">
        <v>2248</v>
      </c>
      <c r="J49" s="53">
        <v>1.4E-2</v>
      </c>
      <c r="L49" s="54">
        <v>267.26</v>
      </c>
      <c r="M49" s="55">
        <v>2199</v>
      </c>
      <c r="N49" s="53">
        <v>1.37E-2</v>
      </c>
      <c r="T49" s="56">
        <v>495.5</v>
      </c>
      <c r="U49" s="61">
        <v>499</v>
      </c>
      <c r="V49" s="62">
        <v>3.0999999999999999E-3</v>
      </c>
      <c r="X49" s="54">
        <v>476.57</v>
      </c>
      <c r="Y49" s="55">
        <v>2248</v>
      </c>
      <c r="Z49" s="53">
        <v>1.4E-2</v>
      </c>
      <c r="AB49" s="54">
        <v>524.29</v>
      </c>
      <c r="AC49" s="55">
        <v>4497</v>
      </c>
      <c r="AD49" s="53">
        <v>1.3299999999999999E-2</v>
      </c>
      <c r="AF49" s="54">
        <v>669.56</v>
      </c>
      <c r="AG49" s="55">
        <v>2248</v>
      </c>
      <c r="AH49" s="53">
        <v>1.4E-2</v>
      </c>
      <c r="AJ49" s="54">
        <v>329.93</v>
      </c>
      <c r="AK49" s="55">
        <v>4497</v>
      </c>
      <c r="AL49" s="53">
        <v>1.3299999999999999E-2</v>
      </c>
    </row>
    <row r="50" spans="1:38" ht="17.25" thickBot="1">
      <c r="A50" s="54">
        <v>522.66</v>
      </c>
      <c r="B50" s="54">
        <v>327.14999999999998</v>
      </c>
      <c r="C50" s="54">
        <v>478.38</v>
      </c>
      <c r="D50" s="54">
        <v>476.65</v>
      </c>
      <c r="E50" s="54">
        <v>523.4</v>
      </c>
      <c r="F50" s="54">
        <v>267.26</v>
      </c>
      <c r="G50" s="54">
        <v>460.3</v>
      </c>
      <c r="H50" s="54">
        <v>669.66</v>
      </c>
      <c r="I50" s="55">
        <v>2199</v>
      </c>
      <c r="J50" s="53">
        <v>1.37E-2</v>
      </c>
      <c r="L50" s="54">
        <v>267.27999999999997</v>
      </c>
      <c r="M50" s="55">
        <v>2150</v>
      </c>
      <c r="N50" s="53">
        <v>1.34E-2</v>
      </c>
      <c r="T50" s="54">
        <v>496</v>
      </c>
      <c r="U50" s="52">
        <v>449</v>
      </c>
      <c r="V50" s="53">
        <v>2.8E-3</v>
      </c>
      <c r="X50" s="54">
        <v>476.65</v>
      </c>
      <c r="Y50" s="55">
        <v>2199</v>
      </c>
      <c r="Z50" s="53">
        <v>1.37E-2</v>
      </c>
      <c r="AB50" s="54">
        <v>524.4</v>
      </c>
      <c r="AC50" s="55">
        <v>4397</v>
      </c>
      <c r="AD50" s="53">
        <v>1.2999999999999999E-2</v>
      </c>
      <c r="AF50" s="54">
        <v>669.89</v>
      </c>
      <c r="AG50" s="55">
        <v>2199</v>
      </c>
      <c r="AH50" s="53">
        <v>1.37E-2</v>
      </c>
      <c r="AJ50" s="54">
        <v>330.03</v>
      </c>
      <c r="AK50" s="55">
        <v>4397</v>
      </c>
      <c r="AL50" s="53">
        <v>1.2999999999999999E-2</v>
      </c>
    </row>
    <row r="51" spans="1:38" ht="17.25" thickBot="1">
      <c r="A51" s="54">
        <v>522.89</v>
      </c>
      <c r="B51" s="54">
        <v>327.3</v>
      </c>
      <c r="C51" s="54">
        <v>478.58</v>
      </c>
      <c r="D51" s="54">
        <v>476.93</v>
      </c>
      <c r="E51" s="54">
        <v>523.55999999999995</v>
      </c>
      <c r="F51" s="54">
        <v>267.27999999999997</v>
      </c>
      <c r="G51" s="54">
        <v>460.51</v>
      </c>
      <c r="H51" s="54">
        <v>669.97</v>
      </c>
      <c r="I51" s="55">
        <v>2150</v>
      </c>
      <c r="J51" s="53">
        <v>1.34E-2</v>
      </c>
      <c r="L51" s="54">
        <v>267.36</v>
      </c>
      <c r="M51" s="55">
        <v>2099</v>
      </c>
      <c r="N51" s="53">
        <v>1.3100000000000001E-2</v>
      </c>
      <c r="T51" s="54">
        <v>496.5</v>
      </c>
      <c r="U51" s="52">
        <v>400</v>
      </c>
      <c r="V51" s="53">
        <v>2.5000000000000001E-3</v>
      </c>
      <c r="X51" s="54">
        <v>476.93</v>
      </c>
      <c r="Y51" s="55">
        <v>2150</v>
      </c>
      <c r="Z51" s="53">
        <v>1.34E-2</v>
      </c>
      <c r="AB51" s="54">
        <v>524.6</v>
      </c>
      <c r="AC51" s="55">
        <v>4297</v>
      </c>
      <c r="AD51" s="53">
        <v>1.2699999999999999E-2</v>
      </c>
      <c r="AF51" s="54">
        <v>670.19</v>
      </c>
      <c r="AG51" s="55">
        <v>2150</v>
      </c>
      <c r="AH51" s="53">
        <v>1.34E-2</v>
      </c>
      <c r="AJ51" s="54">
        <v>330.09</v>
      </c>
      <c r="AK51" s="55">
        <v>4297</v>
      </c>
      <c r="AL51" s="53">
        <v>1.2699999999999999E-2</v>
      </c>
    </row>
    <row r="52" spans="1:38" ht="17.25" thickBot="1">
      <c r="A52" s="54">
        <v>523.04999999999995</v>
      </c>
      <c r="B52" s="54">
        <v>327.37</v>
      </c>
      <c r="C52" s="54">
        <v>478.67</v>
      </c>
      <c r="D52" s="54">
        <v>477.31</v>
      </c>
      <c r="E52" s="54">
        <v>523.80999999999995</v>
      </c>
      <c r="F52" s="54">
        <v>267.36</v>
      </c>
      <c r="G52" s="54">
        <v>460.6</v>
      </c>
      <c r="H52" s="54">
        <v>670.22</v>
      </c>
      <c r="I52" s="55">
        <v>2099</v>
      </c>
      <c r="J52" s="53">
        <v>1.3100000000000001E-2</v>
      </c>
      <c r="L52" s="54">
        <v>267.52</v>
      </c>
      <c r="M52" s="55">
        <v>2049</v>
      </c>
      <c r="N52" s="53">
        <v>1.2800000000000001E-2</v>
      </c>
      <c r="T52" s="54">
        <v>497</v>
      </c>
      <c r="U52" s="52">
        <v>349</v>
      </c>
      <c r="V52" s="53">
        <v>2.2000000000000001E-3</v>
      </c>
      <c r="X52" s="54">
        <v>477.31</v>
      </c>
      <c r="Y52" s="55">
        <v>2099</v>
      </c>
      <c r="Z52" s="53">
        <v>1.3100000000000001E-2</v>
      </c>
      <c r="AB52" s="54">
        <v>524.84</v>
      </c>
      <c r="AC52" s="55">
        <v>4198</v>
      </c>
      <c r="AD52" s="53">
        <v>1.2500000000000001E-2</v>
      </c>
      <c r="AF52" s="54">
        <v>670.42</v>
      </c>
      <c r="AG52" s="55">
        <v>2099</v>
      </c>
      <c r="AH52" s="53">
        <v>1.3100000000000001E-2</v>
      </c>
      <c r="AJ52" s="54">
        <v>330.22</v>
      </c>
      <c r="AK52" s="55">
        <v>4198</v>
      </c>
      <c r="AL52" s="53">
        <v>1.2500000000000001E-2</v>
      </c>
    </row>
    <row r="53" spans="1:38" ht="17.25" thickBot="1">
      <c r="A53" s="54">
        <v>523.30999999999995</v>
      </c>
      <c r="B53" s="54">
        <v>327.52999999999997</v>
      </c>
      <c r="C53" s="54">
        <v>478.94</v>
      </c>
      <c r="D53" s="54">
        <v>477.61</v>
      </c>
      <c r="E53" s="54">
        <v>524.04</v>
      </c>
      <c r="F53" s="54">
        <v>267.52</v>
      </c>
      <c r="G53" s="54">
        <v>460.84</v>
      </c>
      <c r="H53" s="54">
        <v>670.45</v>
      </c>
      <c r="I53" s="55">
        <v>2049</v>
      </c>
      <c r="J53" s="53">
        <v>1.2800000000000001E-2</v>
      </c>
      <c r="L53" s="54">
        <v>267.79000000000002</v>
      </c>
      <c r="M53" s="55">
        <v>1998</v>
      </c>
      <c r="N53" s="53">
        <v>1.2500000000000001E-2</v>
      </c>
      <c r="T53" s="56">
        <v>497.5</v>
      </c>
      <c r="U53" s="61">
        <v>299</v>
      </c>
      <c r="V53" s="62">
        <v>1.9E-3</v>
      </c>
      <c r="X53" s="54">
        <v>477.61</v>
      </c>
      <c r="Y53" s="55">
        <v>2049</v>
      </c>
      <c r="Z53" s="53">
        <v>1.2800000000000001E-2</v>
      </c>
      <c r="AB53" s="54">
        <v>525.15</v>
      </c>
      <c r="AC53" s="55">
        <v>4100</v>
      </c>
      <c r="AD53" s="53">
        <v>1.2200000000000001E-2</v>
      </c>
      <c r="AF53" s="54">
        <v>670.65</v>
      </c>
      <c r="AG53" s="55">
        <v>2049</v>
      </c>
      <c r="AH53" s="53">
        <v>1.2800000000000001E-2</v>
      </c>
      <c r="AJ53" s="54">
        <v>330.35</v>
      </c>
      <c r="AK53" s="55">
        <v>4100</v>
      </c>
      <c r="AL53" s="53">
        <v>1.2200000000000001E-2</v>
      </c>
    </row>
    <row r="54" spans="1:38" ht="17.25" thickBot="1">
      <c r="A54" s="54">
        <v>523.6</v>
      </c>
      <c r="B54" s="54">
        <v>327.67</v>
      </c>
      <c r="C54" s="54">
        <v>479.13</v>
      </c>
      <c r="D54" s="54">
        <v>477.84</v>
      </c>
      <c r="E54" s="54">
        <v>524.17999999999995</v>
      </c>
      <c r="F54" s="54">
        <v>267.79000000000002</v>
      </c>
      <c r="G54" s="54">
        <v>461.03</v>
      </c>
      <c r="H54" s="54">
        <v>670.8</v>
      </c>
      <c r="I54" s="55">
        <v>1998</v>
      </c>
      <c r="J54" s="53">
        <v>1.2500000000000001E-2</v>
      </c>
      <c r="L54" s="54">
        <v>267.91000000000003</v>
      </c>
      <c r="M54" s="55">
        <v>1948</v>
      </c>
      <c r="N54" s="53">
        <v>1.2200000000000001E-2</v>
      </c>
      <c r="T54" s="54">
        <v>498.5</v>
      </c>
      <c r="U54" s="52">
        <v>249</v>
      </c>
      <c r="V54" s="53">
        <v>1.6000000000000001E-3</v>
      </c>
      <c r="X54" s="54">
        <v>477.84</v>
      </c>
      <c r="Y54" s="55">
        <v>1998</v>
      </c>
      <c r="Z54" s="53">
        <v>1.2500000000000001E-2</v>
      </c>
      <c r="AB54" s="54">
        <v>525.36</v>
      </c>
      <c r="AC54" s="55">
        <v>3997</v>
      </c>
      <c r="AD54" s="53">
        <v>1.1900000000000001E-2</v>
      </c>
      <c r="AF54" s="54">
        <v>670.93</v>
      </c>
      <c r="AG54" s="55">
        <v>1998</v>
      </c>
      <c r="AH54" s="53">
        <v>1.2500000000000001E-2</v>
      </c>
      <c r="AJ54" s="54">
        <v>330.44</v>
      </c>
      <c r="AK54" s="55">
        <v>3997</v>
      </c>
      <c r="AL54" s="53">
        <v>1.1900000000000001E-2</v>
      </c>
    </row>
    <row r="55" spans="1:38" ht="17.25" thickBot="1">
      <c r="A55" s="54">
        <v>523.79999999999995</v>
      </c>
      <c r="B55" s="54">
        <v>327.8</v>
      </c>
      <c r="C55" s="54">
        <v>479.31</v>
      </c>
      <c r="D55" s="54">
        <v>478.04</v>
      </c>
      <c r="E55" s="54">
        <v>524.48</v>
      </c>
      <c r="F55" s="54">
        <v>267.91000000000003</v>
      </c>
      <c r="G55" s="54">
        <v>461.2</v>
      </c>
      <c r="H55" s="54">
        <v>671.14</v>
      </c>
      <c r="I55" s="55">
        <v>1948</v>
      </c>
      <c r="J55" s="53">
        <v>1.2200000000000001E-2</v>
      </c>
      <c r="L55" s="54">
        <v>267.98</v>
      </c>
      <c r="M55" s="55">
        <v>1899</v>
      </c>
      <c r="N55" s="53">
        <v>1.1900000000000001E-2</v>
      </c>
      <c r="T55" s="54">
        <v>499</v>
      </c>
      <c r="U55" s="52">
        <v>225</v>
      </c>
      <c r="V55" s="53">
        <v>1.4E-3</v>
      </c>
      <c r="X55" s="54">
        <v>478.04</v>
      </c>
      <c r="Y55" s="55">
        <v>1948</v>
      </c>
      <c r="Z55" s="53">
        <v>1.2200000000000001E-2</v>
      </c>
      <c r="AB55" s="54">
        <v>525.54</v>
      </c>
      <c r="AC55" s="55">
        <v>3900</v>
      </c>
      <c r="AD55" s="53">
        <v>1.1599999999999999E-2</v>
      </c>
      <c r="AF55" s="54">
        <v>671.22</v>
      </c>
      <c r="AG55" s="55">
        <v>1948</v>
      </c>
      <c r="AH55" s="53">
        <v>1.2200000000000001E-2</v>
      </c>
      <c r="AJ55" s="54">
        <v>330.54</v>
      </c>
      <c r="AK55" s="55">
        <v>3900</v>
      </c>
      <c r="AL55" s="53">
        <v>1.1599999999999999E-2</v>
      </c>
    </row>
    <row r="56" spans="1:38" ht="17.25" thickBot="1">
      <c r="A56" s="54">
        <v>524.07000000000005</v>
      </c>
      <c r="B56" s="54">
        <v>327.88</v>
      </c>
      <c r="C56" s="54">
        <v>479.46</v>
      </c>
      <c r="D56" s="54">
        <v>478.2</v>
      </c>
      <c r="E56" s="54">
        <v>524.85</v>
      </c>
      <c r="F56" s="54">
        <v>267.98</v>
      </c>
      <c r="G56" s="54">
        <v>461.34</v>
      </c>
      <c r="H56" s="54">
        <v>671.49</v>
      </c>
      <c r="I56" s="55">
        <v>1899</v>
      </c>
      <c r="J56" s="53">
        <v>1.1900000000000001E-2</v>
      </c>
      <c r="L56" s="54">
        <v>268.18</v>
      </c>
      <c r="M56" s="55">
        <v>1849</v>
      </c>
      <c r="N56" s="53">
        <v>1.15E-2</v>
      </c>
      <c r="T56" s="54">
        <v>499.5</v>
      </c>
      <c r="U56" s="52">
        <v>200</v>
      </c>
      <c r="V56" s="53">
        <v>1.2999999999999999E-3</v>
      </c>
      <c r="X56" s="54">
        <v>478.2</v>
      </c>
      <c r="Y56" s="55">
        <v>1899</v>
      </c>
      <c r="Z56" s="53">
        <v>1.1900000000000001E-2</v>
      </c>
      <c r="AB56" s="54">
        <v>525.79999999999995</v>
      </c>
      <c r="AC56" s="55">
        <v>3799</v>
      </c>
      <c r="AD56" s="53">
        <v>1.1299999999999999E-2</v>
      </c>
      <c r="AF56" s="54">
        <v>671.45</v>
      </c>
      <c r="AG56" s="55">
        <v>1899</v>
      </c>
      <c r="AH56" s="53">
        <v>1.1900000000000001E-2</v>
      </c>
      <c r="AJ56" s="54">
        <v>330.66</v>
      </c>
      <c r="AK56" s="55">
        <v>3799</v>
      </c>
      <c r="AL56" s="53">
        <v>1.1299999999999999E-2</v>
      </c>
    </row>
    <row r="57" spans="1:38" ht="17.25" thickBot="1">
      <c r="A57" s="54">
        <v>524.23</v>
      </c>
      <c r="B57" s="54">
        <v>328.01</v>
      </c>
      <c r="C57" s="54">
        <v>479.65</v>
      </c>
      <c r="D57" s="54">
        <v>478.33</v>
      </c>
      <c r="E57" s="54">
        <v>525.05999999999995</v>
      </c>
      <c r="F57" s="54">
        <v>268.18</v>
      </c>
      <c r="G57" s="54">
        <v>461.52</v>
      </c>
      <c r="H57" s="54">
        <v>671.84</v>
      </c>
      <c r="I57" s="55">
        <v>1849</v>
      </c>
      <c r="J57" s="53">
        <v>1.15E-2</v>
      </c>
      <c r="L57" s="54">
        <v>268.33</v>
      </c>
      <c r="M57" s="55">
        <v>1800</v>
      </c>
      <c r="N57" s="53">
        <v>1.12E-2</v>
      </c>
      <c r="T57" s="54">
        <v>500</v>
      </c>
      <c r="U57" s="52">
        <v>175</v>
      </c>
      <c r="V57" s="53">
        <v>1.1000000000000001E-3</v>
      </c>
      <c r="X57" s="54">
        <v>478.33</v>
      </c>
      <c r="Y57" s="55">
        <v>1849</v>
      </c>
      <c r="Z57" s="53">
        <v>1.15E-2</v>
      </c>
      <c r="AB57" s="54">
        <v>526.07000000000005</v>
      </c>
      <c r="AC57" s="55">
        <v>3699</v>
      </c>
      <c r="AD57" s="53">
        <v>1.0999999999999999E-2</v>
      </c>
      <c r="AF57" s="54">
        <v>671.74</v>
      </c>
      <c r="AG57" s="55">
        <v>1849</v>
      </c>
      <c r="AH57" s="53">
        <v>1.15E-2</v>
      </c>
      <c r="AJ57" s="54">
        <v>330.76</v>
      </c>
      <c r="AK57" s="55">
        <v>3699</v>
      </c>
      <c r="AL57" s="53">
        <v>1.0999999999999999E-2</v>
      </c>
    </row>
    <row r="58" spans="1:38" ht="17.25" thickBot="1">
      <c r="A58" s="57">
        <v>524.42999999999995</v>
      </c>
      <c r="B58" s="57">
        <v>328.22</v>
      </c>
      <c r="C58" s="57">
        <v>479.94</v>
      </c>
      <c r="D58" s="57">
        <v>478.6</v>
      </c>
      <c r="E58" s="57">
        <v>525.29999999999995</v>
      </c>
      <c r="F58" s="57">
        <v>268.33</v>
      </c>
      <c r="G58" s="57">
        <v>461.8</v>
      </c>
      <c r="H58" s="57">
        <v>672.19</v>
      </c>
      <c r="I58" s="60">
        <v>1800</v>
      </c>
      <c r="J58" s="63">
        <v>1.12E-2</v>
      </c>
      <c r="L58" s="57">
        <v>268.47000000000003</v>
      </c>
      <c r="M58" s="60">
        <v>1749</v>
      </c>
      <c r="N58" s="63">
        <v>1.09E-2</v>
      </c>
      <c r="T58" s="57">
        <v>501</v>
      </c>
      <c r="U58" s="59">
        <v>135</v>
      </c>
      <c r="V58" s="63">
        <v>8.0000000000000004E-4</v>
      </c>
      <c r="X58" s="57">
        <v>478.6</v>
      </c>
      <c r="Y58" s="60">
        <v>1800</v>
      </c>
      <c r="Z58" s="63">
        <v>1.12E-2</v>
      </c>
      <c r="AB58" s="54">
        <v>526.36</v>
      </c>
      <c r="AC58" s="55">
        <v>3599</v>
      </c>
      <c r="AD58" s="53">
        <v>1.0699999999999999E-2</v>
      </c>
      <c r="AF58" s="57">
        <v>672.03</v>
      </c>
      <c r="AG58" s="60">
        <v>1800</v>
      </c>
      <c r="AH58" s="63">
        <v>1.12E-2</v>
      </c>
      <c r="AJ58" s="54">
        <v>330.88</v>
      </c>
      <c r="AK58" s="55">
        <v>3599</v>
      </c>
      <c r="AL58" s="53">
        <v>1.0699999999999999E-2</v>
      </c>
    </row>
    <row r="59" spans="1:38" ht="17.25" thickBot="1">
      <c r="A59" s="54">
        <v>524.70000000000005</v>
      </c>
      <c r="B59" s="54">
        <v>328.3</v>
      </c>
      <c r="C59" s="54">
        <v>480.07</v>
      </c>
      <c r="D59" s="54">
        <v>478.74</v>
      </c>
      <c r="E59" s="54">
        <v>525.48</v>
      </c>
      <c r="F59" s="54">
        <v>268.47000000000003</v>
      </c>
      <c r="G59" s="54">
        <v>461.93</v>
      </c>
      <c r="H59" s="54">
        <v>672.48</v>
      </c>
      <c r="I59" s="55">
        <v>1749</v>
      </c>
      <c r="J59" s="53">
        <v>1.09E-2</v>
      </c>
      <c r="L59" s="54">
        <v>268.54000000000002</v>
      </c>
      <c r="M59" s="55">
        <v>1700</v>
      </c>
      <c r="N59" s="53">
        <v>1.06E-2</v>
      </c>
      <c r="T59" s="54">
        <v>501.5</v>
      </c>
      <c r="U59" s="52">
        <v>105</v>
      </c>
      <c r="V59" s="53">
        <v>6.9999999999999999E-4</v>
      </c>
      <c r="X59" s="54">
        <v>478.74</v>
      </c>
      <c r="Y59" s="55">
        <v>1749</v>
      </c>
      <c r="Z59" s="53">
        <v>1.09E-2</v>
      </c>
      <c r="AB59" s="54">
        <v>526.6</v>
      </c>
      <c r="AC59" s="55">
        <v>3500</v>
      </c>
      <c r="AD59" s="53">
        <v>1.04E-2</v>
      </c>
      <c r="AF59" s="54">
        <v>672.22</v>
      </c>
      <c r="AG59" s="55">
        <v>1749</v>
      </c>
      <c r="AH59" s="53">
        <v>1.09E-2</v>
      </c>
      <c r="AJ59" s="54">
        <v>331.06</v>
      </c>
      <c r="AK59" s="55">
        <v>3500</v>
      </c>
      <c r="AL59" s="53">
        <v>1.04E-2</v>
      </c>
    </row>
    <row r="60" spans="1:38" ht="17.25" thickBot="1">
      <c r="A60" s="54">
        <v>524.91</v>
      </c>
      <c r="B60" s="54">
        <v>328.45</v>
      </c>
      <c r="C60" s="54">
        <v>480.28</v>
      </c>
      <c r="D60" s="54">
        <v>478.96</v>
      </c>
      <c r="E60" s="54">
        <v>525.75</v>
      </c>
      <c r="F60" s="54">
        <v>268.54000000000002</v>
      </c>
      <c r="G60" s="54">
        <v>462.13</v>
      </c>
      <c r="H60" s="54">
        <v>672.8</v>
      </c>
      <c r="I60" s="55">
        <v>1700</v>
      </c>
      <c r="J60" s="53">
        <v>1.06E-2</v>
      </c>
      <c r="L60" s="54">
        <v>268.7</v>
      </c>
      <c r="M60" s="55">
        <v>1649</v>
      </c>
      <c r="N60" s="53">
        <v>1.03E-2</v>
      </c>
      <c r="T60" s="54">
        <v>502</v>
      </c>
      <c r="U60" s="52">
        <v>75</v>
      </c>
      <c r="V60" s="53">
        <v>5.0000000000000001E-4</v>
      </c>
      <c r="X60" s="54">
        <v>478.96</v>
      </c>
      <c r="Y60" s="55">
        <v>1700</v>
      </c>
      <c r="Z60" s="53">
        <v>1.06E-2</v>
      </c>
      <c r="AB60" s="113">
        <v>526.79999999999995</v>
      </c>
      <c r="AC60" s="165">
        <v>3397</v>
      </c>
      <c r="AD60" s="115">
        <v>1.01E-2</v>
      </c>
      <c r="AF60" s="54">
        <v>672.6</v>
      </c>
      <c r="AG60" s="55">
        <v>1700</v>
      </c>
      <c r="AH60" s="53">
        <v>1.06E-2</v>
      </c>
      <c r="AJ60" s="113">
        <v>331.15</v>
      </c>
      <c r="AK60" s="165">
        <v>3397</v>
      </c>
      <c r="AL60" s="115">
        <v>1.01E-2</v>
      </c>
    </row>
    <row r="61" spans="1:38" ht="17.25" thickBot="1">
      <c r="A61" s="54">
        <v>525.12</v>
      </c>
      <c r="B61" s="54">
        <v>328.55</v>
      </c>
      <c r="C61" s="54">
        <v>480.43</v>
      </c>
      <c r="D61" s="54">
        <v>479.3</v>
      </c>
      <c r="E61" s="54">
        <v>525.96</v>
      </c>
      <c r="F61" s="54">
        <v>268.7</v>
      </c>
      <c r="G61" s="54">
        <v>462.27</v>
      </c>
      <c r="H61" s="54">
        <v>673.15</v>
      </c>
      <c r="I61" s="55">
        <v>1649</v>
      </c>
      <c r="J61" s="53">
        <v>1.03E-2</v>
      </c>
      <c r="L61" s="56">
        <v>268.83999999999997</v>
      </c>
      <c r="M61" s="58">
        <v>1599</v>
      </c>
      <c r="N61" s="62">
        <v>0.01</v>
      </c>
      <c r="T61" s="54">
        <v>503</v>
      </c>
      <c r="U61" s="52">
        <v>45</v>
      </c>
      <c r="V61" s="53">
        <v>2.9999999999999997E-4</v>
      </c>
      <c r="X61" s="54">
        <v>479.3</v>
      </c>
      <c r="Y61" s="55">
        <v>1649</v>
      </c>
      <c r="Z61" s="53">
        <v>1.03E-2</v>
      </c>
      <c r="AB61" s="54">
        <v>527.09</v>
      </c>
      <c r="AC61" s="55">
        <v>3299</v>
      </c>
      <c r="AD61" s="53">
        <v>9.7999999999999997E-3</v>
      </c>
      <c r="AF61" s="54">
        <v>672.79</v>
      </c>
      <c r="AG61" s="55">
        <v>1649</v>
      </c>
      <c r="AH61" s="53">
        <v>1.03E-2</v>
      </c>
      <c r="AJ61" s="54">
        <v>331.23</v>
      </c>
      <c r="AK61" s="55">
        <v>3299</v>
      </c>
      <c r="AL61" s="53">
        <v>9.7999999999999997E-3</v>
      </c>
    </row>
    <row r="62" spans="1:38" ht="17.25" thickBot="1">
      <c r="A62" s="56">
        <v>525.41999999999996</v>
      </c>
      <c r="B62" s="56">
        <v>328.77</v>
      </c>
      <c r="C62" s="56">
        <v>480.74</v>
      </c>
      <c r="D62" s="56">
        <v>479.55</v>
      </c>
      <c r="E62" s="56">
        <v>526.20000000000005</v>
      </c>
      <c r="F62" s="56">
        <v>268.83999999999997</v>
      </c>
      <c r="G62" s="56">
        <v>462.56</v>
      </c>
      <c r="H62" s="56">
        <v>673.58</v>
      </c>
      <c r="I62" s="58">
        <v>1599</v>
      </c>
      <c r="J62" s="62">
        <v>0.01</v>
      </c>
      <c r="L62" s="54">
        <v>269.01</v>
      </c>
      <c r="M62" s="55">
        <v>1549</v>
      </c>
      <c r="N62" s="53">
        <v>9.7000000000000003E-3</v>
      </c>
      <c r="T62" s="54">
        <v>504</v>
      </c>
      <c r="U62" s="52">
        <v>15</v>
      </c>
      <c r="V62" s="53">
        <v>1E-4</v>
      </c>
      <c r="X62" s="56">
        <v>479.55</v>
      </c>
      <c r="Y62" s="58">
        <v>1599</v>
      </c>
      <c r="Z62" s="62">
        <v>0.01</v>
      </c>
      <c r="AB62" s="54">
        <v>527.28</v>
      </c>
      <c r="AC62" s="55">
        <v>3197</v>
      </c>
      <c r="AD62" s="53">
        <v>9.4999999999999998E-3</v>
      </c>
      <c r="AF62" s="56">
        <v>673.19</v>
      </c>
      <c r="AG62" s="58">
        <v>1599</v>
      </c>
      <c r="AH62" s="62">
        <v>0.01</v>
      </c>
      <c r="AJ62" s="54">
        <v>331.46</v>
      </c>
      <c r="AK62" s="55">
        <v>3197</v>
      </c>
      <c r="AL62" s="53">
        <v>9.4999999999999998E-3</v>
      </c>
    </row>
    <row r="63" spans="1:38" ht="17.25" thickBot="1">
      <c r="A63" s="54">
        <v>525.62</v>
      </c>
      <c r="B63" s="54">
        <v>328.88</v>
      </c>
      <c r="C63" s="54">
        <v>480.91</v>
      </c>
      <c r="D63" s="54">
        <v>479.87</v>
      </c>
      <c r="E63" s="54">
        <v>526.48</v>
      </c>
      <c r="F63" s="54">
        <v>269.01</v>
      </c>
      <c r="G63" s="54">
        <v>462.74</v>
      </c>
      <c r="H63" s="54">
        <v>673.99</v>
      </c>
      <c r="I63" s="55">
        <v>1549</v>
      </c>
      <c r="J63" s="53">
        <v>9.7000000000000003E-3</v>
      </c>
      <c r="L63" s="54">
        <v>269.26</v>
      </c>
      <c r="M63" s="55">
        <v>1450</v>
      </c>
      <c r="N63" s="53">
        <v>9.1000000000000004E-3</v>
      </c>
      <c r="X63" s="54">
        <v>479.87</v>
      </c>
      <c r="Y63" s="55">
        <v>1549</v>
      </c>
      <c r="Z63" s="53">
        <v>9.7000000000000003E-3</v>
      </c>
      <c r="AB63" s="54">
        <v>527.47</v>
      </c>
      <c r="AC63" s="55">
        <v>3096</v>
      </c>
      <c r="AD63" s="53">
        <v>9.1999999999999998E-3</v>
      </c>
      <c r="AF63" s="54">
        <v>673.6</v>
      </c>
      <c r="AG63" s="55">
        <v>1549</v>
      </c>
      <c r="AH63" s="53">
        <v>9.7000000000000003E-3</v>
      </c>
      <c r="AJ63" s="54">
        <v>331.61</v>
      </c>
      <c r="AK63" s="55">
        <v>3096</v>
      </c>
      <c r="AL63" s="53">
        <v>9.1999999999999998E-3</v>
      </c>
    </row>
    <row r="64" spans="1:38" ht="17.25" thickBot="1">
      <c r="A64" s="54">
        <v>525.87</v>
      </c>
      <c r="B64" s="54">
        <v>329.1</v>
      </c>
      <c r="C64" s="54">
        <v>481.24</v>
      </c>
      <c r="D64" s="54">
        <v>480.19</v>
      </c>
      <c r="E64" s="54">
        <v>526.70000000000005</v>
      </c>
      <c r="F64" s="54">
        <v>269.26</v>
      </c>
      <c r="G64" s="54">
        <v>463.04</v>
      </c>
      <c r="H64" s="54">
        <v>674.28</v>
      </c>
      <c r="I64" s="55">
        <v>1499</v>
      </c>
      <c r="J64" s="53">
        <v>9.4000000000000004E-3</v>
      </c>
      <c r="L64" s="54">
        <v>269.33</v>
      </c>
      <c r="M64" s="55">
        <v>1398</v>
      </c>
      <c r="N64" s="53">
        <v>8.6999999999999994E-3</v>
      </c>
      <c r="X64" s="54">
        <v>480.19</v>
      </c>
      <c r="Y64" s="55">
        <v>1499</v>
      </c>
      <c r="Z64" s="53">
        <v>9.4000000000000004E-3</v>
      </c>
      <c r="AB64" s="54">
        <v>527.74</v>
      </c>
      <c r="AC64" s="55">
        <v>2996</v>
      </c>
      <c r="AD64" s="53">
        <v>8.8999999999999999E-3</v>
      </c>
      <c r="AF64" s="54">
        <v>673.89</v>
      </c>
      <c r="AG64" s="55">
        <v>1499</v>
      </c>
      <c r="AH64" s="53">
        <v>9.4000000000000004E-3</v>
      </c>
      <c r="AJ64" s="54">
        <v>331.77</v>
      </c>
      <c r="AK64" s="55">
        <v>2996</v>
      </c>
      <c r="AL64" s="53">
        <v>8.8999999999999999E-3</v>
      </c>
    </row>
    <row r="65" spans="1:38" ht="17.25" thickBot="1">
      <c r="A65" s="54">
        <v>526.04999999999995</v>
      </c>
      <c r="B65" s="54">
        <v>329.3</v>
      </c>
      <c r="C65" s="54">
        <v>481.52</v>
      </c>
      <c r="D65" s="54">
        <v>480.58</v>
      </c>
      <c r="E65" s="54">
        <v>526.98</v>
      </c>
      <c r="F65" s="54">
        <v>269.26</v>
      </c>
      <c r="G65" s="54">
        <v>463.32</v>
      </c>
      <c r="H65" s="54">
        <v>674.58</v>
      </c>
      <c r="I65" s="55">
        <v>1450</v>
      </c>
      <c r="J65" s="53">
        <v>9.1000000000000004E-3</v>
      </c>
      <c r="L65" s="54">
        <v>269.63</v>
      </c>
      <c r="M65" s="55">
        <v>1350</v>
      </c>
      <c r="N65" s="53">
        <v>8.3999999999999995E-3</v>
      </c>
      <c r="X65" s="54">
        <v>480.58</v>
      </c>
      <c r="Y65" s="55">
        <v>1450</v>
      </c>
      <c r="Z65" s="53">
        <v>9.1000000000000004E-3</v>
      </c>
      <c r="AB65" s="54">
        <v>528.04</v>
      </c>
      <c r="AC65" s="55">
        <v>2897</v>
      </c>
      <c r="AD65" s="53">
        <v>8.6E-3</v>
      </c>
      <c r="AF65" s="54">
        <v>674.29</v>
      </c>
      <c r="AG65" s="55">
        <v>1450</v>
      </c>
      <c r="AH65" s="53">
        <v>9.1000000000000004E-3</v>
      </c>
      <c r="AJ65" s="54">
        <v>331.92</v>
      </c>
      <c r="AK65" s="55">
        <v>2897</v>
      </c>
      <c r="AL65" s="53">
        <v>8.6E-3</v>
      </c>
    </row>
    <row r="66" spans="1:38" ht="17.25" thickBot="1">
      <c r="A66" s="54">
        <v>526.29</v>
      </c>
      <c r="B66" s="54">
        <v>329.58</v>
      </c>
      <c r="C66" s="54">
        <v>481.92</v>
      </c>
      <c r="D66" s="54">
        <v>480.83</v>
      </c>
      <c r="E66" s="54">
        <v>527.20000000000005</v>
      </c>
      <c r="F66" s="54">
        <v>269.33</v>
      </c>
      <c r="G66" s="54">
        <v>463.7</v>
      </c>
      <c r="H66" s="54">
        <v>675.06</v>
      </c>
      <c r="I66" s="55">
        <v>1398</v>
      </c>
      <c r="J66" s="53">
        <v>8.6999999999999994E-3</v>
      </c>
      <c r="L66" s="54">
        <v>269.7</v>
      </c>
      <c r="M66" s="55">
        <v>1299</v>
      </c>
      <c r="N66" s="53">
        <v>8.0999999999999996E-3</v>
      </c>
      <c r="X66" s="54">
        <v>480.83</v>
      </c>
      <c r="Y66" s="55">
        <v>1398</v>
      </c>
      <c r="Z66" s="53">
        <v>8.6999999999999994E-3</v>
      </c>
      <c r="AB66" s="54">
        <v>528.24</v>
      </c>
      <c r="AC66" s="55">
        <v>2798</v>
      </c>
      <c r="AD66" s="53">
        <v>8.3000000000000001E-3</v>
      </c>
      <c r="AF66" s="54">
        <v>674.79</v>
      </c>
      <c r="AG66" s="55">
        <v>1398</v>
      </c>
      <c r="AH66" s="53">
        <v>8.6999999999999994E-3</v>
      </c>
      <c r="AJ66" s="54">
        <v>332.09</v>
      </c>
      <c r="AK66" s="55">
        <v>2798</v>
      </c>
      <c r="AL66" s="53">
        <v>8.3000000000000001E-3</v>
      </c>
    </row>
    <row r="67" spans="1:38" ht="17.25" thickBot="1">
      <c r="A67" s="57">
        <v>526.54</v>
      </c>
      <c r="B67" s="57">
        <v>329.78</v>
      </c>
      <c r="C67" s="57">
        <v>482.22</v>
      </c>
      <c r="D67" s="57">
        <v>481.01</v>
      </c>
      <c r="E67" s="57">
        <v>527.47</v>
      </c>
      <c r="F67" s="57">
        <v>269.63</v>
      </c>
      <c r="G67" s="57">
        <v>463.99</v>
      </c>
      <c r="H67" s="57">
        <v>675.31</v>
      </c>
      <c r="I67" s="60">
        <v>1350</v>
      </c>
      <c r="J67" s="63">
        <v>8.3999999999999995E-3</v>
      </c>
      <c r="L67" s="57">
        <v>269.95</v>
      </c>
      <c r="M67" s="60">
        <v>1248</v>
      </c>
      <c r="N67" s="63">
        <v>7.7999999999999996E-3</v>
      </c>
      <c r="X67" s="57">
        <v>481.01</v>
      </c>
      <c r="Y67" s="60">
        <v>1350</v>
      </c>
      <c r="Z67" s="63">
        <v>8.3999999999999995E-3</v>
      </c>
      <c r="AB67" s="54">
        <v>528.5</v>
      </c>
      <c r="AC67" s="55">
        <v>2696</v>
      </c>
      <c r="AD67" s="53">
        <v>8.0000000000000002E-3</v>
      </c>
      <c r="AF67" s="57">
        <v>675.31</v>
      </c>
      <c r="AG67" s="60">
        <v>1350</v>
      </c>
      <c r="AH67" s="63">
        <v>8.3999999999999995E-3</v>
      </c>
      <c r="AJ67" s="54">
        <v>332.18</v>
      </c>
      <c r="AK67" s="55">
        <v>2696</v>
      </c>
      <c r="AL67" s="53">
        <v>8.0000000000000002E-3</v>
      </c>
    </row>
    <row r="68" spans="1:38" ht="17.25" thickBot="1">
      <c r="A68" s="54">
        <v>526.9</v>
      </c>
      <c r="B68" s="54">
        <v>329.91</v>
      </c>
      <c r="C68" s="54">
        <v>482.42</v>
      </c>
      <c r="D68" s="54">
        <v>481.3</v>
      </c>
      <c r="E68" s="54">
        <v>527.65</v>
      </c>
      <c r="F68" s="54">
        <v>269.7</v>
      </c>
      <c r="G68" s="54">
        <v>464.18</v>
      </c>
      <c r="H68" s="54">
        <v>675.59</v>
      </c>
      <c r="I68" s="55">
        <v>1299</v>
      </c>
      <c r="J68" s="53">
        <v>8.0999999999999996E-3</v>
      </c>
      <c r="L68" s="54">
        <v>270.26</v>
      </c>
      <c r="M68" s="55">
        <v>1198</v>
      </c>
      <c r="N68" s="53">
        <v>7.4999999999999997E-3</v>
      </c>
      <c r="X68" s="54">
        <v>481.3</v>
      </c>
      <c r="Y68" s="55">
        <v>1299</v>
      </c>
      <c r="Z68" s="53">
        <v>8.0999999999999996E-3</v>
      </c>
      <c r="AB68" s="54">
        <v>528.77</v>
      </c>
      <c r="AC68" s="55">
        <v>2599</v>
      </c>
      <c r="AD68" s="53">
        <v>7.7000000000000002E-3</v>
      </c>
      <c r="AF68" s="54">
        <v>675.54</v>
      </c>
      <c r="AG68" s="55">
        <v>1299</v>
      </c>
      <c r="AH68" s="53">
        <v>8.0999999999999996E-3</v>
      </c>
      <c r="AJ68" s="54">
        <v>332.27</v>
      </c>
      <c r="AK68" s="55">
        <v>2599</v>
      </c>
      <c r="AL68" s="53">
        <v>7.7000000000000002E-3</v>
      </c>
    </row>
    <row r="69" spans="1:38" ht="17.25" thickBot="1">
      <c r="A69" s="54">
        <v>527.08000000000004</v>
      </c>
      <c r="B69" s="54">
        <v>330.09</v>
      </c>
      <c r="C69" s="54">
        <v>482.66</v>
      </c>
      <c r="D69" s="54">
        <v>481.64</v>
      </c>
      <c r="E69" s="54">
        <v>527.91</v>
      </c>
      <c r="F69" s="54">
        <v>269.95</v>
      </c>
      <c r="G69" s="54">
        <v>464.42</v>
      </c>
      <c r="H69" s="54">
        <v>675.93</v>
      </c>
      <c r="I69" s="55">
        <v>1248</v>
      </c>
      <c r="J69" s="53">
        <v>7.7999999999999996E-3</v>
      </c>
      <c r="L69" s="54">
        <v>270.51</v>
      </c>
      <c r="M69" s="55">
        <v>1149</v>
      </c>
      <c r="N69" s="53">
        <v>7.1999999999999998E-3</v>
      </c>
      <c r="X69" s="54">
        <v>481.64</v>
      </c>
      <c r="Y69" s="55">
        <v>1248</v>
      </c>
      <c r="Z69" s="53">
        <v>7.7999999999999996E-3</v>
      </c>
      <c r="AB69" s="57">
        <v>529.07000000000005</v>
      </c>
      <c r="AC69" s="60">
        <v>2499</v>
      </c>
      <c r="AD69" s="63">
        <v>7.4000000000000003E-3</v>
      </c>
      <c r="AF69" s="54">
        <v>675.93</v>
      </c>
      <c r="AG69" s="55">
        <v>1248</v>
      </c>
      <c r="AH69" s="53">
        <v>7.7999999999999996E-3</v>
      </c>
      <c r="AJ69" s="57">
        <v>332.41</v>
      </c>
      <c r="AK69" s="60">
        <v>2499</v>
      </c>
      <c r="AL69" s="63">
        <v>7.4000000000000003E-3</v>
      </c>
    </row>
    <row r="70" spans="1:38" ht="17.25" thickBot="1">
      <c r="A70" s="54">
        <v>527.29</v>
      </c>
      <c r="B70" s="54">
        <v>330.29</v>
      </c>
      <c r="C70" s="54">
        <v>482.92</v>
      </c>
      <c r="D70" s="54">
        <v>481.91</v>
      </c>
      <c r="E70" s="54">
        <v>528.30999999999995</v>
      </c>
      <c r="F70" s="54">
        <v>270.26</v>
      </c>
      <c r="G70" s="54">
        <v>464.66</v>
      </c>
      <c r="H70" s="54">
        <v>676.43</v>
      </c>
      <c r="I70" s="55">
        <v>1198</v>
      </c>
      <c r="J70" s="53">
        <v>7.4999999999999997E-3</v>
      </c>
      <c r="L70" s="54">
        <v>270.91000000000003</v>
      </c>
      <c r="M70" s="55">
        <v>1099</v>
      </c>
      <c r="N70" s="53">
        <v>6.8999999999999999E-3</v>
      </c>
      <c r="X70" s="54">
        <v>481.91</v>
      </c>
      <c r="Y70" s="55">
        <v>1198</v>
      </c>
      <c r="Z70" s="53">
        <v>7.4999999999999997E-3</v>
      </c>
      <c r="AB70" s="54">
        <v>529.36</v>
      </c>
      <c r="AC70" s="55">
        <v>2399</v>
      </c>
      <c r="AD70" s="53">
        <v>7.1000000000000004E-3</v>
      </c>
      <c r="AF70" s="54">
        <v>676.31</v>
      </c>
      <c r="AG70" s="55">
        <v>1198</v>
      </c>
      <c r="AH70" s="53">
        <v>7.4999999999999997E-3</v>
      </c>
      <c r="AJ70" s="54">
        <v>332.59</v>
      </c>
      <c r="AK70" s="55">
        <v>2399</v>
      </c>
      <c r="AL70" s="53">
        <v>7.1000000000000004E-3</v>
      </c>
    </row>
    <row r="71" spans="1:38" ht="17.25" thickBot="1">
      <c r="A71" s="54">
        <v>527.63</v>
      </c>
      <c r="B71" s="54">
        <v>330.51</v>
      </c>
      <c r="C71" s="54">
        <v>483.27</v>
      </c>
      <c r="D71" s="54">
        <v>482.27</v>
      </c>
      <c r="E71" s="54">
        <v>528.51</v>
      </c>
      <c r="F71" s="54">
        <v>270.51</v>
      </c>
      <c r="G71" s="54">
        <v>464.99</v>
      </c>
      <c r="H71" s="54">
        <v>677.05</v>
      </c>
      <c r="I71" s="55">
        <v>1149</v>
      </c>
      <c r="J71" s="53">
        <v>7.1999999999999998E-3</v>
      </c>
      <c r="L71" s="54">
        <v>271.08</v>
      </c>
      <c r="M71" s="55">
        <v>1050</v>
      </c>
      <c r="N71" s="53">
        <v>6.6E-3</v>
      </c>
      <c r="X71" s="54">
        <v>482.27</v>
      </c>
      <c r="Y71" s="55">
        <v>1149</v>
      </c>
      <c r="Z71" s="53">
        <v>7.1999999999999998E-3</v>
      </c>
      <c r="AB71" s="54">
        <v>529.64</v>
      </c>
      <c r="AC71" s="55">
        <v>2300</v>
      </c>
      <c r="AD71" s="53">
        <v>6.7999999999999996E-3</v>
      </c>
      <c r="AF71" s="54">
        <v>676.79</v>
      </c>
      <c r="AG71" s="55">
        <v>1149</v>
      </c>
      <c r="AH71" s="53">
        <v>7.1999999999999998E-3</v>
      </c>
      <c r="AJ71" s="54">
        <v>332.8</v>
      </c>
      <c r="AK71" s="55">
        <v>2300</v>
      </c>
      <c r="AL71" s="53">
        <v>6.7999999999999996E-3</v>
      </c>
    </row>
    <row r="72" spans="1:38" ht="17.25" thickBot="1">
      <c r="A72" s="54">
        <v>528</v>
      </c>
      <c r="B72" s="54">
        <v>330.67</v>
      </c>
      <c r="C72" s="54">
        <v>483.52</v>
      </c>
      <c r="D72" s="54">
        <v>482.4</v>
      </c>
      <c r="E72" s="54">
        <v>528.84</v>
      </c>
      <c r="F72" s="54">
        <v>270.91000000000003</v>
      </c>
      <c r="G72" s="54">
        <v>465.23</v>
      </c>
      <c r="H72" s="54">
        <v>677.39</v>
      </c>
      <c r="I72" s="55">
        <v>1099</v>
      </c>
      <c r="J72" s="53">
        <v>6.8999999999999999E-3</v>
      </c>
      <c r="L72" s="54">
        <v>271.18</v>
      </c>
      <c r="M72" s="52">
        <v>999</v>
      </c>
      <c r="N72" s="53">
        <v>6.1999999999999998E-3</v>
      </c>
      <c r="X72" s="54">
        <v>482.4</v>
      </c>
      <c r="Y72" s="55">
        <v>1099</v>
      </c>
      <c r="Z72" s="53">
        <v>6.8999999999999999E-3</v>
      </c>
      <c r="AB72" s="54">
        <v>529.83000000000004</v>
      </c>
      <c r="AC72" s="55">
        <v>2197</v>
      </c>
      <c r="AD72" s="53">
        <v>6.4999999999999997E-3</v>
      </c>
      <c r="AF72" s="54">
        <v>677.1</v>
      </c>
      <c r="AG72" s="55">
        <v>1099</v>
      </c>
      <c r="AH72" s="53">
        <v>6.8999999999999999E-3</v>
      </c>
      <c r="AJ72" s="54">
        <v>332.9</v>
      </c>
      <c r="AK72" s="55">
        <v>2197</v>
      </c>
      <c r="AL72" s="53">
        <v>6.4999999999999997E-3</v>
      </c>
    </row>
    <row r="73" spans="1:38" ht="17.25" thickBot="1">
      <c r="A73" s="54">
        <v>528.30999999999995</v>
      </c>
      <c r="B73" s="54">
        <v>330.88</v>
      </c>
      <c r="C73" s="54">
        <v>483.84</v>
      </c>
      <c r="D73" s="54">
        <v>482.9</v>
      </c>
      <c r="E73" s="54">
        <v>529.35</v>
      </c>
      <c r="F73" s="54">
        <v>271.08</v>
      </c>
      <c r="G73" s="54">
        <v>465.54</v>
      </c>
      <c r="H73" s="54">
        <v>678.05</v>
      </c>
      <c r="I73" s="55">
        <v>1050</v>
      </c>
      <c r="J73" s="53">
        <v>6.6E-3</v>
      </c>
      <c r="L73" s="54">
        <v>271.47000000000003</v>
      </c>
      <c r="M73" s="52">
        <v>949</v>
      </c>
      <c r="N73" s="53">
        <v>5.8999999999999999E-3</v>
      </c>
      <c r="X73" s="54">
        <v>482.9</v>
      </c>
      <c r="Y73" s="55">
        <v>1050</v>
      </c>
      <c r="Z73" s="53">
        <v>6.6E-3</v>
      </c>
      <c r="AB73" s="54">
        <v>530.16</v>
      </c>
      <c r="AC73" s="55">
        <v>2100</v>
      </c>
      <c r="AD73" s="53">
        <v>6.1999999999999998E-3</v>
      </c>
      <c r="AF73" s="54">
        <v>677.57</v>
      </c>
      <c r="AG73" s="55">
        <v>1050</v>
      </c>
      <c r="AH73" s="53">
        <v>6.6E-3</v>
      </c>
      <c r="AJ73" s="54">
        <v>333.05</v>
      </c>
      <c r="AK73" s="55">
        <v>2100</v>
      </c>
      <c r="AL73" s="53">
        <v>6.1999999999999998E-3</v>
      </c>
    </row>
    <row r="74" spans="1:38" ht="17.25" thickBot="1">
      <c r="A74" s="54">
        <v>528.65</v>
      </c>
      <c r="B74" s="54">
        <v>331.13</v>
      </c>
      <c r="C74" s="54">
        <v>484.19</v>
      </c>
      <c r="D74" s="54">
        <v>483.3</v>
      </c>
      <c r="E74" s="54">
        <v>529.64</v>
      </c>
      <c r="F74" s="54">
        <v>271.18</v>
      </c>
      <c r="G74" s="54">
        <v>465.86</v>
      </c>
      <c r="H74" s="54">
        <v>678.51</v>
      </c>
      <c r="I74" s="52">
        <v>999</v>
      </c>
      <c r="J74" s="53">
        <v>6.1999999999999998E-3</v>
      </c>
      <c r="L74" s="54">
        <v>271.64</v>
      </c>
      <c r="M74" s="52">
        <v>899</v>
      </c>
      <c r="N74" s="53">
        <v>5.5999999999999999E-3</v>
      </c>
      <c r="X74" s="54">
        <v>483.3</v>
      </c>
      <c r="Y74" s="52">
        <v>999</v>
      </c>
      <c r="Z74" s="53">
        <v>6.1999999999999998E-3</v>
      </c>
      <c r="AB74" s="54">
        <v>530.37</v>
      </c>
      <c r="AC74" s="55">
        <v>1999</v>
      </c>
      <c r="AD74" s="53">
        <v>5.8999999999999999E-3</v>
      </c>
      <c r="AF74" s="54">
        <v>677.96</v>
      </c>
      <c r="AG74" s="52">
        <v>999</v>
      </c>
      <c r="AH74" s="53">
        <v>6.1999999999999998E-3</v>
      </c>
      <c r="AJ74" s="54">
        <v>333.21</v>
      </c>
      <c r="AK74" s="55">
        <v>1999</v>
      </c>
      <c r="AL74" s="53">
        <v>5.8999999999999999E-3</v>
      </c>
    </row>
    <row r="75" spans="1:38" ht="17.25" thickBot="1">
      <c r="A75" s="57">
        <v>529.01</v>
      </c>
      <c r="B75" s="57">
        <v>331.3</v>
      </c>
      <c r="C75" s="57">
        <v>484.46</v>
      </c>
      <c r="D75" s="57">
        <v>483.53</v>
      </c>
      <c r="E75" s="57">
        <v>530.12</v>
      </c>
      <c r="F75" s="57">
        <v>271.47000000000003</v>
      </c>
      <c r="G75" s="57">
        <v>466.12</v>
      </c>
      <c r="H75" s="57">
        <v>678.82</v>
      </c>
      <c r="I75" s="59">
        <v>949</v>
      </c>
      <c r="J75" s="63">
        <v>5.8999999999999999E-3</v>
      </c>
      <c r="L75" s="113">
        <v>271.7</v>
      </c>
      <c r="M75" s="114">
        <v>800</v>
      </c>
      <c r="N75" s="115">
        <v>5.0000000000000001E-3</v>
      </c>
      <c r="X75" s="57">
        <v>483.53</v>
      </c>
      <c r="Y75" s="59">
        <v>949</v>
      </c>
      <c r="Z75" s="63">
        <v>5.8999999999999999E-3</v>
      </c>
      <c r="AB75" s="54">
        <v>530.65</v>
      </c>
      <c r="AC75" s="55">
        <v>1899</v>
      </c>
      <c r="AD75" s="53">
        <v>5.5999999999999999E-3</v>
      </c>
      <c r="AF75" s="57">
        <v>678.47</v>
      </c>
      <c r="AG75" s="59">
        <v>949</v>
      </c>
      <c r="AH75" s="63">
        <v>5.8999999999999999E-3</v>
      </c>
      <c r="AJ75" s="54">
        <v>333.35</v>
      </c>
      <c r="AK75" s="55">
        <v>1899</v>
      </c>
      <c r="AL75" s="53">
        <v>5.5999999999999999E-3</v>
      </c>
    </row>
    <row r="76" spans="1:38" ht="17.25" thickBot="1">
      <c r="A76" s="54">
        <v>529.39</v>
      </c>
      <c r="B76" s="54">
        <v>331.56</v>
      </c>
      <c r="C76" s="54">
        <v>484.82</v>
      </c>
      <c r="D76" s="54">
        <v>483.97</v>
      </c>
      <c r="E76" s="54">
        <v>530.52</v>
      </c>
      <c r="F76" s="54">
        <v>271.64</v>
      </c>
      <c r="G76" s="54">
        <v>466.49</v>
      </c>
      <c r="H76" s="54">
        <v>679.37</v>
      </c>
      <c r="I76" s="52">
        <v>899</v>
      </c>
      <c r="J76" s="53">
        <v>5.5999999999999999E-3</v>
      </c>
      <c r="L76" s="54">
        <v>272.14</v>
      </c>
      <c r="M76" s="52">
        <v>749</v>
      </c>
      <c r="N76" s="53">
        <v>4.7000000000000002E-3</v>
      </c>
      <c r="X76" s="54">
        <v>483.97</v>
      </c>
      <c r="Y76" s="52">
        <v>899</v>
      </c>
      <c r="Z76" s="53">
        <v>5.5999999999999999E-3</v>
      </c>
      <c r="AB76" s="54">
        <v>531</v>
      </c>
      <c r="AC76" s="55">
        <v>1800</v>
      </c>
      <c r="AD76" s="53">
        <v>5.3E-3</v>
      </c>
      <c r="AF76" s="54">
        <v>678.89</v>
      </c>
      <c r="AG76" s="52">
        <v>899</v>
      </c>
      <c r="AH76" s="53">
        <v>5.5999999999999999E-3</v>
      </c>
      <c r="AJ76" s="54">
        <v>333.59</v>
      </c>
      <c r="AK76" s="55">
        <v>1800</v>
      </c>
      <c r="AL76" s="53">
        <v>5.3E-3</v>
      </c>
    </row>
    <row r="77" spans="1:38" ht="17.25" thickBot="1">
      <c r="A77" s="54">
        <v>529.85</v>
      </c>
      <c r="B77" s="54">
        <v>331.73</v>
      </c>
      <c r="C77" s="54">
        <v>485.09</v>
      </c>
      <c r="D77" s="54">
        <v>484.34</v>
      </c>
      <c r="E77" s="54">
        <v>530.82000000000005</v>
      </c>
      <c r="F77" s="54">
        <v>271.7</v>
      </c>
      <c r="G77" s="54">
        <v>466.73</v>
      </c>
      <c r="H77" s="54">
        <v>679.72</v>
      </c>
      <c r="I77" s="52">
        <v>849</v>
      </c>
      <c r="J77" s="53">
        <v>5.3E-3</v>
      </c>
      <c r="L77" s="54">
        <v>272.26</v>
      </c>
      <c r="M77" s="52">
        <v>700</v>
      </c>
      <c r="N77" s="53">
        <v>4.4000000000000003E-3</v>
      </c>
      <c r="X77" s="54">
        <v>484.34</v>
      </c>
      <c r="Y77" s="52">
        <v>849</v>
      </c>
      <c r="Z77" s="53">
        <v>5.3E-3</v>
      </c>
      <c r="AB77" s="113">
        <v>531.36</v>
      </c>
      <c r="AC77" s="165">
        <v>1698</v>
      </c>
      <c r="AD77" s="115">
        <v>5.0000000000000001E-3</v>
      </c>
      <c r="AF77" s="54">
        <v>679.37</v>
      </c>
      <c r="AG77" s="52">
        <v>849</v>
      </c>
      <c r="AH77" s="53">
        <v>5.3E-3</v>
      </c>
      <c r="AJ77" s="113">
        <v>333.69</v>
      </c>
      <c r="AK77" s="165">
        <v>1698</v>
      </c>
      <c r="AL77" s="115">
        <v>5.0000000000000001E-3</v>
      </c>
    </row>
    <row r="78" spans="1:38" ht="17.25" thickBot="1">
      <c r="A78" s="56">
        <v>530.1</v>
      </c>
      <c r="B78" s="56">
        <v>332.05</v>
      </c>
      <c r="C78" s="56">
        <v>485.55</v>
      </c>
      <c r="D78" s="56">
        <v>484.63</v>
      </c>
      <c r="E78" s="56">
        <v>531.20000000000005</v>
      </c>
      <c r="F78" s="56">
        <v>271.7</v>
      </c>
      <c r="G78" s="56">
        <v>467.17</v>
      </c>
      <c r="H78" s="56">
        <v>680.29</v>
      </c>
      <c r="I78" s="61">
        <v>800</v>
      </c>
      <c r="J78" s="62">
        <v>5.0000000000000001E-3</v>
      </c>
      <c r="L78" s="54">
        <v>272.33</v>
      </c>
      <c r="M78" s="52">
        <v>650</v>
      </c>
      <c r="N78" s="53">
        <v>4.1000000000000003E-3</v>
      </c>
      <c r="X78" s="56">
        <v>484.63</v>
      </c>
      <c r="Y78" s="61">
        <v>800</v>
      </c>
      <c r="Z78" s="62">
        <v>5.0000000000000001E-3</v>
      </c>
      <c r="AB78" s="54">
        <v>531.6</v>
      </c>
      <c r="AC78" s="55">
        <v>1597</v>
      </c>
      <c r="AD78" s="53">
        <v>4.7000000000000002E-3</v>
      </c>
      <c r="AF78" s="56">
        <v>679.91</v>
      </c>
      <c r="AG78" s="61">
        <v>800</v>
      </c>
      <c r="AH78" s="62">
        <v>5.0000000000000001E-3</v>
      </c>
      <c r="AJ78" s="54">
        <v>333.92</v>
      </c>
      <c r="AK78" s="55">
        <v>1597</v>
      </c>
      <c r="AL78" s="53">
        <v>4.7000000000000002E-3</v>
      </c>
    </row>
    <row r="79" spans="1:38" ht="17.25" thickBot="1">
      <c r="A79" s="54">
        <v>530.48</v>
      </c>
      <c r="B79" s="54">
        <v>332.35</v>
      </c>
      <c r="C79" s="54">
        <v>485.98</v>
      </c>
      <c r="D79" s="54">
        <v>485.26</v>
      </c>
      <c r="E79" s="54">
        <v>531.45000000000005</v>
      </c>
      <c r="F79" s="54">
        <v>272.14</v>
      </c>
      <c r="G79" s="54">
        <v>467.59</v>
      </c>
      <c r="H79" s="54">
        <v>680.74</v>
      </c>
      <c r="I79" s="52">
        <v>749</v>
      </c>
      <c r="J79" s="53">
        <v>4.7000000000000002E-3</v>
      </c>
      <c r="L79" s="54">
        <v>272.76</v>
      </c>
      <c r="M79" s="52">
        <v>600</v>
      </c>
      <c r="N79" s="53">
        <v>3.7000000000000002E-3</v>
      </c>
      <c r="X79" s="54">
        <v>485.26</v>
      </c>
      <c r="Y79" s="52">
        <v>749</v>
      </c>
      <c r="Z79" s="53">
        <v>4.7000000000000002E-3</v>
      </c>
      <c r="AB79" s="54">
        <v>532</v>
      </c>
      <c r="AC79" s="55">
        <v>1497</v>
      </c>
      <c r="AD79" s="53">
        <v>4.4000000000000003E-3</v>
      </c>
      <c r="AF79" s="54">
        <v>680.53</v>
      </c>
      <c r="AG79" s="52">
        <v>749</v>
      </c>
      <c r="AH79" s="53">
        <v>4.7000000000000002E-3</v>
      </c>
      <c r="AJ79" s="54">
        <v>334.02</v>
      </c>
      <c r="AK79" s="55">
        <v>1497</v>
      </c>
      <c r="AL79" s="53">
        <v>4.4000000000000003E-3</v>
      </c>
    </row>
    <row r="80" spans="1:38" ht="17.25" thickBot="1">
      <c r="A80" s="54">
        <v>530.86</v>
      </c>
      <c r="B80" s="54">
        <v>332.59</v>
      </c>
      <c r="C80" s="54">
        <v>486.32</v>
      </c>
      <c r="D80" s="54">
        <v>485.71</v>
      </c>
      <c r="E80" s="54">
        <v>531.75</v>
      </c>
      <c r="F80" s="54">
        <v>272.26</v>
      </c>
      <c r="G80" s="54">
        <v>467.92</v>
      </c>
      <c r="H80" s="54">
        <v>681.45</v>
      </c>
      <c r="I80" s="52">
        <v>700</v>
      </c>
      <c r="J80" s="53">
        <v>4.4000000000000003E-3</v>
      </c>
      <c r="L80" s="54">
        <v>272.95</v>
      </c>
      <c r="M80" s="52">
        <v>550</v>
      </c>
      <c r="N80" s="53">
        <v>3.3999999999999998E-3</v>
      </c>
      <c r="X80" s="54">
        <v>485.71</v>
      </c>
      <c r="Y80" s="52">
        <v>700</v>
      </c>
      <c r="Z80" s="53">
        <v>4.4000000000000003E-3</v>
      </c>
      <c r="AB80" s="54">
        <v>532.55999999999995</v>
      </c>
      <c r="AC80" s="55">
        <v>1398</v>
      </c>
      <c r="AD80" s="53">
        <v>4.1000000000000003E-3</v>
      </c>
      <c r="AF80" s="54">
        <v>680.98</v>
      </c>
      <c r="AG80" s="52">
        <v>700</v>
      </c>
      <c r="AH80" s="53">
        <v>4.4000000000000003E-3</v>
      </c>
      <c r="AJ80" s="54">
        <v>334.23</v>
      </c>
      <c r="AK80" s="55">
        <v>1398</v>
      </c>
      <c r="AL80" s="53">
        <v>4.1000000000000003E-3</v>
      </c>
    </row>
    <row r="81" spans="1:38" ht="17.25" thickBot="1">
      <c r="A81" s="54">
        <v>531.29999999999995</v>
      </c>
      <c r="B81" s="54">
        <v>332.84</v>
      </c>
      <c r="C81" s="54">
        <v>486.68</v>
      </c>
      <c r="D81" s="54">
        <v>486</v>
      </c>
      <c r="E81" s="54">
        <v>532.29</v>
      </c>
      <c r="F81" s="54">
        <v>272.33</v>
      </c>
      <c r="G81" s="54">
        <v>468.26</v>
      </c>
      <c r="H81" s="54">
        <v>681.97</v>
      </c>
      <c r="I81" s="52">
        <v>650</v>
      </c>
      <c r="J81" s="53">
        <v>4.1000000000000003E-3</v>
      </c>
      <c r="L81" s="56">
        <v>273.29000000000002</v>
      </c>
      <c r="M81" s="61">
        <v>499</v>
      </c>
      <c r="N81" s="62">
        <v>3.0999999999999999E-3</v>
      </c>
      <c r="X81" s="54">
        <v>486</v>
      </c>
      <c r="Y81" s="52">
        <v>650</v>
      </c>
      <c r="Z81" s="53">
        <v>4.1000000000000003E-3</v>
      </c>
      <c r="AB81" s="54">
        <v>532.76</v>
      </c>
      <c r="AC81" s="55">
        <v>1299</v>
      </c>
      <c r="AD81" s="53">
        <v>3.8999999999999998E-3</v>
      </c>
      <c r="AF81" s="54">
        <v>681.66</v>
      </c>
      <c r="AG81" s="52">
        <v>650</v>
      </c>
      <c r="AH81" s="53">
        <v>4.1000000000000003E-3</v>
      </c>
      <c r="AJ81" s="54">
        <v>334.44</v>
      </c>
      <c r="AK81" s="55">
        <v>1299</v>
      </c>
      <c r="AL81" s="53">
        <v>3.8999999999999998E-3</v>
      </c>
    </row>
    <row r="82" spans="1:38" ht="17.25" thickBot="1">
      <c r="A82" s="54">
        <v>531.69000000000005</v>
      </c>
      <c r="B82" s="54">
        <v>333.13</v>
      </c>
      <c r="C82" s="54">
        <v>487.08</v>
      </c>
      <c r="D82" s="54">
        <v>486.62</v>
      </c>
      <c r="E82" s="54">
        <v>532.79999999999995</v>
      </c>
      <c r="F82" s="54">
        <v>272.76</v>
      </c>
      <c r="G82" s="54">
        <v>468.65</v>
      </c>
      <c r="H82" s="54">
        <v>682.82</v>
      </c>
      <c r="I82" s="52">
        <v>600</v>
      </c>
      <c r="J82" s="53">
        <v>3.7000000000000002E-3</v>
      </c>
      <c r="L82" s="54">
        <v>273.91000000000003</v>
      </c>
      <c r="M82" s="52">
        <v>449</v>
      </c>
      <c r="N82" s="53">
        <v>2.8E-3</v>
      </c>
      <c r="X82" s="54">
        <v>486.62</v>
      </c>
      <c r="Y82" s="52">
        <v>600</v>
      </c>
      <c r="Z82" s="53">
        <v>3.7000000000000002E-3</v>
      </c>
      <c r="AB82" s="54">
        <v>533.16999999999996</v>
      </c>
      <c r="AC82" s="55">
        <v>1198</v>
      </c>
      <c r="AD82" s="53">
        <v>3.5999999999999999E-3</v>
      </c>
      <c r="AF82" s="54">
        <v>682.11</v>
      </c>
      <c r="AG82" s="52">
        <v>600</v>
      </c>
      <c r="AH82" s="53">
        <v>3.7000000000000002E-3</v>
      </c>
      <c r="AJ82" s="54">
        <v>334.67</v>
      </c>
      <c r="AK82" s="55">
        <v>1198</v>
      </c>
      <c r="AL82" s="53">
        <v>3.5999999999999999E-3</v>
      </c>
    </row>
    <row r="83" spans="1:38" ht="17.25" thickBot="1">
      <c r="A83" s="57">
        <v>532.25</v>
      </c>
      <c r="B83" s="57">
        <v>333.55</v>
      </c>
      <c r="C83" s="57">
        <v>487.74</v>
      </c>
      <c r="D83" s="57">
        <v>487.07</v>
      </c>
      <c r="E83" s="57">
        <v>533.30999999999995</v>
      </c>
      <c r="F83" s="57">
        <v>272.95</v>
      </c>
      <c r="G83" s="57">
        <v>469.27</v>
      </c>
      <c r="H83" s="57">
        <v>683.53</v>
      </c>
      <c r="I83" s="59">
        <v>550</v>
      </c>
      <c r="J83" s="63">
        <v>3.3999999999999998E-3</v>
      </c>
      <c r="L83" s="57">
        <v>274.08</v>
      </c>
      <c r="M83" s="59">
        <v>400</v>
      </c>
      <c r="N83" s="63">
        <v>2.5000000000000001E-3</v>
      </c>
      <c r="X83" s="57">
        <v>487.07</v>
      </c>
      <c r="Y83" s="59">
        <v>550</v>
      </c>
      <c r="Z83" s="63">
        <v>3.3999999999999998E-3</v>
      </c>
      <c r="AB83" s="54">
        <v>533.65</v>
      </c>
      <c r="AC83" s="55">
        <v>1098</v>
      </c>
      <c r="AD83" s="53">
        <v>3.3E-3</v>
      </c>
      <c r="AF83" s="57">
        <v>682.96</v>
      </c>
      <c r="AG83" s="59">
        <v>550</v>
      </c>
      <c r="AH83" s="63">
        <v>3.3999999999999998E-3</v>
      </c>
      <c r="AJ83" s="54">
        <v>335.03</v>
      </c>
      <c r="AK83" s="55">
        <v>1098</v>
      </c>
      <c r="AL83" s="53">
        <v>3.3E-3</v>
      </c>
    </row>
    <row r="84" spans="1:38" ht="17.25" thickBot="1">
      <c r="A84" s="56">
        <v>532.79999999999995</v>
      </c>
      <c r="B84" s="56">
        <v>333.92</v>
      </c>
      <c r="C84" s="56">
        <v>488.27</v>
      </c>
      <c r="D84" s="56">
        <v>487.65</v>
      </c>
      <c r="E84" s="56">
        <v>533.85</v>
      </c>
      <c r="F84" s="56">
        <v>273.29000000000002</v>
      </c>
      <c r="G84" s="56">
        <v>469.78</v>
      </c>
      <c r="H84" s="56">
        <v>684.21</v>
      </c>
      <c r="I84" s="61">
        <v>499</v>
      </c>
      <c r="J84" s="62">
        <v>3.0999999999999999E-3</v>
      </c>
      <c r="L84" s="54">
        <v>274.45999999999998</v>
      </c>
      <c r="M84" s="52">
        <v>349</v>
      </c>
      <c r="N84" s="53">
        <v>2.2000000000000001E-3</v>
      </c>
      <c r="X84" s="56">
        <v>487.65</v>
      </c>
      <c r="Y84" s="61">
        <v>499</v>
      </c>
      <c r="Z84" s="62">
        <v>3.0999999999999999E-3</v>
      </c>
      <c r="AB84" s="56">
        <v>534.13</v>
      </c>
      <c r="AC84" s="61">
        <v>999</v>
      </c>
      <c r="AD84" s="62">
        <v>3.0000000000000001E-3</v>
      </c>
      <c r="AF84" s="56">
        <v>683.75</v>
      </c>
      <c r="AG84" s="61">
        <v>499</v>
      </c>
      <c r="AH84" s="62">
        <v>3.0999999999999999E-3</v>
      </c>
      <c r="AJ84" s="56">
        <v>335.19</v>
      </c>
      <c r="AK84" s="61">
        <v>999</v>
      </c>
      <c r="AL84" s="62">
        <v>3.0000000000000001E-3</v>
      </c>
    </row>
    <row r="85" spans="1:38" ht="17.25" thickBot="1">
      <c r="A85" s="54">
        <v>533.25</v>
      </c>
      <c r="B85" s="54">
        <v>334.13</v>
      </c>
      <c r="C85" s="54">
        <v>488.59</v>
      </c>
      <c r="D85" s="54">
        <v>488.24</v>
      </c>
      <c r="E85" s="54">
        <v>534.52</v>
      </c>
      <c r="F85" s="54">
        <v>273.91000000000003</v>
      </c>
      <c r="G85" s="54">
        <v>470.09</v>
      </c>
      <c r="H85" s="54">
        <v>685.09</v>
      </c>
      <c r="I85" s="52">
        <v>449</v>
      </c>
      <c r="J85" s="53">
        <v>2.8E-3</v>
      </c>
      <c r="L85" s="56">
        <v>274.7</v>
      </c>
      <c r="M85" s="61">
        <v>299</v>
      </c>
      <c r="N85" s="62">
        <v>1.9E-3</v>
      </c>
      <c r="X85" s="54">
        <v>488.24</v>
      </c>
      <c r="Y85" s="52">
        <v>449</v>
      </c>
      <c r="Z85" s="53">
        <v>2.8E-3</v>
      </c>
      <c r="AB85" s="54">
        <v>534.76</v>
      </c>
      <c r="AC85" s="52">
        <v>900</v>
      </c>
      <c r="AD85" s="53">
        <v>2.7000000000000001E-3</v>
      </c>
      <c r="AF85" s="54">
        <v>684.2</v>
      </c>
      <c r="AG85" s="52">
        <v>449</v>
      </c>
      <c r="AH85" s="53">
        <v>2.8E-3</v>
      </c>
      <c r="AJ85" s="54">
        <v>335.39</v>
      </c>
      <c r="AK85" s="52">
        <v>900</v>
      </c>
      <c r="AL85" s="53">
        <v>2.7000000000000001E-3</v>
      </c>
    </row>
    <row r="86" spans="1:38" ht="17.25" thickBot="1">
      <c r="A86" s="54">
        <v>533.72</v>
      </c>
      <c r="B86" s="54">
        <v>334.51</v>
      </c>
      <c r="C86" s="54">
        <v>489.12</v>
      </c>
      <c r="D86" s="54">
        <v>488.79</v>
      </c>
      <c r="E86" s="54">
        <v>534.96</v>
      </c>
      <c r="F86" s="54">
        <v>274.08</v>
      </c>
      <c r="G86" s="54">
        <v>470.59</v>
      </c>
      <c r="H86" s="54">
        <v>686.18</v>
      </c>
      <c r="I86" s="52">
        <v>400</v>
      </c>
      <c r="J86" s="53">
        <v>2.5000000000000001E-3</v>
      </c>
      <c r="L86" s="54">
        <v>275.66000000000003</v>
      </c>
      <c r="M86" s="52">
        <v>249</v>
      </c>
      <c r="N86" s="53">
        <v>1.6000000000000001E-3</v>
      </c>
      <c r="X86" s="54">
        <v>488.79</v>
      </c>
      <c r="Y86" s="52">
        <v>400</v>
      </c>
      <c r="Z86" s="53">
        <v>2.5000000000000001E-3</v>
      </c>
      <c r="AB86" s="57">
        <v>535.07000000000005</v>
      </c>
      <c r="AC86" s="59">
        <v>799</v>
      </c>
      <c r="AD86" s="63">
        <v>2.3999999999999998E-3</v>
      </c>
      <c r="AF86" s="54">
        <v>684.93</v>
      </c>
      <c r="AG86" s="52">
        <v>400</v>
      </c>
      <c r="AH86" s="53">
        <v>2.5000000000000001E-3</v>
      </c>
      <c r="AJ86" s="57">
        <v>335.66</v>
      </c>
      <c r="AK86" s="59">
        <v>799</v>
      </c>
      <c r="AL86" s="63">
        <v>2.3999999999999998E-3</v>
      </c>
    </row>
    <row r="87" spans="1:38" ht="17.25" thickBot="1">
      <c r="A87" s="54">
        <v>534.58000000000004</v>
      </c>
      <c r="B87" s="54">
        <v>335.05</v>
      </c>
      <c r="C87" s="54">
        <v>489.9</v>
      </c>
      <c r="D87" s="54">
        <v>489.82</v>
      </c>
      <c r="E87" s="54">
        <v>535.75</v>
      </c>
      <c r="F87" s="54">
        <v>274.45999999999998</v>
      </c>
      <c r="G87" s="54">
        <v>471.34</v>
      </c>
      <c r="H87" s="54">
        <v>686.79</v>
      </c>
      <c r="I87" s="52">
        <v>349</v>
      </c>
      <c r="J87" s="53">
        <v>2.2000000000000001E-3</v>
      </c>
      <c r="L87" s="54">
        <v>275.95</v>
      </c>
      <c r="M87" s="52">
        <v>225</v>
      </c>
      <c r="N87" s="53">
        <v>1.4E-3</v>
      </c>
      <c r="X87" s="54">
        <v>489.82</v>
      </c>
      <c r="Y87" s="52">
        <v>349</v>
      </c>
      <c r="Z87" s="53">
        <v>2.2000000000000001E-3</v>
      </c>
      <c r="AB87" s="54">
        <v>535.6</v>
      </c>
      <c r="AC87" s="52">
        <v>700</v>
      </c>
      <c r="AD87" s="53">
        <v>2.0999999999999999E-3</v>
      </c>
      <c r="AF87" s="54">
        <v>685.9</v>
      </c>
      <c r="AG87" s="52">
        <v>349</v>
      </c>
      <c r="AH87" s="53">
        <v>2.2000000000000001E-3</v>
      </c>
      <c r="AJ87" s="54">
        <v>335.9</v>
      </c>
      <c r="AK87" s="52">
        <v>700</v>
      </c>
      <c r="AL87" s="53">
        <v>2.0999999999999999E-3</v>
      </c>
    </row>
    <row r="88" spans="1:38" ht="17.25" thickBot="1">
      <c r="A88" s="56">
        <v>535.23</v>
      </c>
      <c r="B88" s="56">
        <v>335.55</v>
      </c>
      <c r="C88" s="56">
        <v>490.66</v>
      </c>
      <c r="D88" s="56">
        <v>490.6</v>
      </c>
      <c r="E88" s="56">
        <v>536.69000000000005</v>
      </c>
      <c r="F88" s="56">
        <v>274.7</v>
      </c>
      <c r="G88" s="56">
        <v>472.07</v>
      </c>
      <c r="H88" s="56">
        <v>687.82</v>
      </c>
      <c r="I88" s="61">
        <v>299</v>
      </c>
      <c r="J88" s="62">
        <v>1.9E-3</v>
      </c>
      <c r="L88" s="54">
        <v>276.33</v>
      </c>
      <c r="M88" s="52">
        <v>200</v>
      </c>
      <c r="N88" s="53">
        <v>1.2999999999999999E-3</v>
      </c>
      <c r="X88" s="56">
        <v>490.6</v>
      </c>
      <c r="Y88" s="61">
        <v>299</v>
      </c>
      <c r="Z88" s="62">
        <v>1.9E-3</v>
      </c>
      <c r="AB88" s="54">
        <v>536.36</v>
      </c>
      <c r="AC88" s="52">
        <v>597</v>
      </c>
      <c r="AD88" s="53">
        <v>1.8E-3</v>
      </c>
      <c r="AF88" s="56">
        <v>687.04</v>
      </c>
      <c r="AG88" s="61">
        <v>299</v>
      </c>
      <c r="AH88" s="62">
        <v>1.9E-3</v>
      </c>
      <c r="AJ88" s="54">
        <v>336.16</v>
      </c>
      <c r="AK88" s="52">
        <v>597</v>
      </c>
      <c r="AL88" s="53">
        <v>1.8E-3</v>
      </c>
    </row>
    <row r="89" spans="1:38" ht="17.25" thickBot="1">
      <c r="A89" s="54">
        <v>536.1</v>
      </c>
      <c r="B89" s="54">
        <v>336.16</v>
      </c>
      <c r="C89" s="54">
        <v>491.55</v>
      </c>
      <c r="D89" s="54">
        <v>491.31</v>
      </c>
      <c r="E89" s="54">
        <v>537.29999999999995</v>
      </c>
      <c r="F89" s="54">
        <v>275.66000000000003</v>
      </c>
      <c r="G89" s="54">
        <v>472.93</v>
      </c>
      <c r="H89" s="54">
        <v>689.27</v>
      </c>
      <c r="I89" s="52">
        <v>249</v>
      </c>
      <c r="J89" s="53">
        <v>1.6000000000000001E-3</v>
      </c>
      <c r="L89" s="54">
        <v>276.45999999999998</v>
      </c>
      <c r="M89" s="52">
        <v>175</v>
      </c>
      <c r="N89" s="53">
        <v>1.1000000000000001E-3</v>
      </c>
      <c r="X89" s="54">
        <v>491.31</v>
      </c>
      <c r="Y89" s="52">
        <v>249</v>
      </c>
      <c r="Z89" s="53">
        <v>1.6000000000000001E-3</v>
      </c>
      <c r="AB89" s="54">
        <v>537</v>
      </c>
      <c r="AC89" s="52">
        <v>499</v>
      </c>
      <c r="AD89" s="53">
        <v>1.5E-3</v>
      </c>
      <c r="AF89" s="54">
        <v>688.27</v>
      </c>
      <c r="AG89" s="52">
        <v>249</v>
      </c>
      <c r="AH89" s="53">
        <v>1.6000000000000001E-3</v>
      </c>
      <c r="AJ89" s="54">
        <v>336.46</v>
      </c>
      <c r="AK89" s="52">
        <v>499</v>
      </c>
      <c r="AL89" s="53">
        <v>1.5E-3</v>
      </c>
    </row>
    <row r="90" spans="1:38" ht="17.25" thickBot="1">
      <c r="A90" s="54">
        <v>536.51</v>
      </c>
      <c r="B90" s="54">
        <v>336.41</v>
      </c>
      <c r="C90" s="54">
        <v>491.92</v>
      </c>
      <c r="D90" s="54">
        <v>491.86</v>
      </c>
      <c r="E90" s="54">
        <v>538.01</v>
      </c>
      <c r="F90" s="54">
        <v>275.95</v>
      </c>
      <c r="G90" s="54">
        <v>473.28</v>
      </c>
      <c r="H90" s="54">
        <v>689.8</v>
      </c>
      <c r="I90" s="52">
        <v>225</v>
      </c>
      <c r="J90" s="53">
        <v>1.4E-3</v>
      </c>
      <c r="L90" s="54">
        <v>277.08</v>
      </c>
      <c r="M90" s="52">
        <v>75</v>
      </c>
      <c r="N90" s="53">
        <v>5.0000000000000001E-4</v>
      </c>
      <c r="X90" s="54">
        <v>491.86</v>
      </c>
      <c r="Y90" s="52">
        <v>225</v>
      </c>
      <c r="Z90" s="53">
        <v>1.4E-3</v>
      </c>
      <c r="AB90" s="54">
        <v>537.37</v>
      </c>
      <c r="AC90" s="52">
        <v>449</v>
      </c>
      <c r="AD90" s="53">
        <v>1.2999999999999999E-3</v>
      </c>
      <c r="AF90" s="54">
        <v>688.81</v>
      </c>
      <c r="AG90" s="52">
        <v>225</v>
      </c>
      <c r="AH90" s="53">
        <v>1.4E-3</v>
      </c>
      <c r="AJ90" s="54">
        <v>336.55</v>
      </c>
      <c r="AK90" s="52">
        <v>449</v>
      </c>
      <c r="AL90" s="53">
        <v>1.2999999999999999E-3</v>
      </c>
    </row>
    <row r="91" spans="1:38" ht="17.25" thickBot="1">
      <c r="A91" s="57">
        <v>537.15</v>
      </c>
      <c r="B91" s="57">
        <v>336.7</v>
      </c>
      <c r="C91" s="57">
        <v>492.33</v>
      </c>
      <c r="D91" s="57">
        <v>492.22</v>
      </c>
      <c r="E91" s="57">
        <v>538.4</v>
      </c>
      <c r="F91" s="57">
        <v>276.33</v>
      </c>
      <c r="G91" s="57">
        <v>473.68</v>
      </c>
      <c r="H91" s="57">
        <v>690.47</v>
      </c>
      <c r="I91" s="59">
        <v>200</v>
      </c>
      <c r="J91" s="63">
        <v>1.2999999999999999E-3</v>
      </c>
      <c r="L91" s="57">
        <v>277.2</v>
      </c>
      <c r="M91" s="59">
        <v>60</v>
      </c>
      <c r="N91" s="63">
        <v>4.0000000000000002E-4</v>
      </c>
      <c r="X91" s="57">
        <v>492.22</v>
      </c>
      <c r="Y91" s="59">
        <v>200</v>
      </c>
      <c r="Z91" s="63">
        <v>1.2999999999999999E-3</v>
      </c>
      <c r="AB91" s="54">
        <v>537.76</v>
      </c>
      <c r="AC91" s="52">
        <v>399</v>
      </c>
      <c r="AD91" s="53">
        <v>1.1999999999999999E-3</v>
      </c>
      <c r="AF91" s="57">
        <v>689.26</v>
      </c>
      <c r="AG91" s="59">
        <v>200</v>
      </c>
      <c r="AH91" s="63">
        <v>1.2999999999999999E-3</v>
      </c>
      <c r="AJ91" s="54">
        <v>336.81</v>
      </c>
      <c r="AK91" s="52">
        <v>399</v>
      </c>
      <c r="AL91" s="53">
        <v>1.1999999999999999E-3</v>
      </c>
    </row>
    <row r="92" spans="1:38" ht="17.25" thickBot="1">
      <c r="A92" s="54">
        <v>537.6</v>
      </c>
      <c r="B92" s="54">
        <v>336.88</v>
      </c>
      <c r="C92" s="54">
        <v>492.61</v>
      </c>
      <c r="D92" s="54">
        <v>492.59</v>
      </c>
      <c r="E92" s="54">
        <v>538.95000000000005</v>
      </c>
      <c r="F92" s="54">
        <v>276.45999999999998</v>
      </c>
      <c r="G92" s="54">
        <v>473.94</v>
      </c>
      <c r="H92" s="54">
        <v>690.84</v>
      </c>
      <c r="I92" s="52">
        <v>175</v>
      </c>
      <c r="J92" s="53">
        <v>1.1000000000000001E-3</v>
      </c>
      <c r="L92" s="54">
        <v>278.33</v>
      </c>
      <c r="M92" s="52">
        <v>30</v>
      </c>
      <c r="N92" s="53">
        <v>2.0000000000000001E-4</v>
      </c>
      <c r="X92" s="54">
        <v>492.59</v>
      </c>
      <c r="Y92" s="52">
        <v>175</v>
      </c>
      <c r="Z92" s="53">
        <v>1.1000000000000001E-3</v>
      </c>
      <c r="AB92" s="56">
        <v>537.97</v>
      </c>
      <c r="AC92" s="61">
        <v>350</v>
      </c>
      <c r="AD92" s="62">
        <v>1E-3</v>
      </c>
      <c r="AF92" s="54">
        <v>689.88</v>
      </c>
      <c r="AG92" s="52">
        <v>175</v>
      </c>
      <c r="AH92" s="53">
        <v>1.1000000000000001E-3</v>
      </c>
      <c r="AJ92" s="56">
        <v>337.18</v>
      </c>
      <c r="AK92" s="61">
        <v>350</v>
      </c>
      <c r="AL92" s="62">
        <v>1E-3</v>
      </c>
    </row>
    <row r="93" spans="1:38" ht="17.25" thickBot="1">
      <c r="A93" s="56">
        <v>538.07000000000005</v>
      </c>
      <c r="B93" s="56">
        <v>337.17</v>
      </c>
      <c r="C93" s="56">
        <v>493.02</v>
      </c>
      <c r="D93" s="56">
        <v>492.95</v>
      </c>
      <c r="E93" s="56">
        <v>539.30999999999995</v>
      </c>
      <c r="F93" s="56">
        <v>277.08</v>
      </c>
      <c r="G93" s="56">
        <v>474.33</v>
      </c>
      <c r="H93" s="56">
        <v>691.89</v>
      </c>
      <c r="I93" s="61">
        <v>150</v>
      </c>
      <c r="J93" s="62">
        <v>8.9999999999999998E-4</v>
      </c>
      <c r="L93" s="54">
        <v>279.45999999999998</v>
      </c>
      <c r="M93" s="52">
        <v>15</v>
      </c>
      <c r="N93" s="53">
        <v>1E-4</v>
      </c>
      <c r="X93" s="56">
        <v>492.95</v>
      </c>
      <c r="Y93" s="61">
        <v>150</v>
      </c>
      <c r="Z93" s="62">
        <v>8.9999999999999998E-4</v>
      </c>
      <c r="AB93" s="54">
        <v>538.37</v>
      </c>
      <c r="AC93" s="52">
        <v>300</v>
      </c>
      <c r="AD93" s="53">
        <v>8.9999999999999998E-4</v>
      </c>
      <c r="AF93" s="56">
        <v>690.33</v>
      </c>
      <c r="AG93" s="61">
        <v>150</v>
      </c>
      <c r="AH93" s="62">
        <v>8.9999999999999998E-4</v>
      </c>
      <c r="AJ93" s="54">
        <v>337.49</v>
      </c>
      <c r="AK93" s="52">
        <v>300</v>
      </c>
      <c r="AL93" s="53">
        <v>8.9999999999999998E-4</v>
      </c>
    </row>
    <row r="94" spans="1:38" ht="17.25" thickBot="1">
      <c r="A94" s="54">
        <v>538.20000000000005</v>
      </c>
      <c r="B94" s="54">
        <v>337.62</v>
      </c>
      <c r="C94" s="54">
        <v>493.66</v>
      </c>
      <c r="D94" s="54">
        <v>493.14</v>
      </c>
      <c r="E94" s="54">
        <v>539.5</v>
      </c>
      <c r="F94" s="54">
        <v>277.08</v>
      </c>
      <c r="G94" s="54">
        <v>474.95</v>
      </c>
      <c r="H94" s="54">
        <v>692.31</v>
      </c>
      <c r="I94" s="52">
        <v>135</v>
      </c>
      <c r="J94" s="53">
        <v>8.0000000000000004E-4</v>
      </c>
      <c r="X94" s="54">
        <v>493.14</v>
      </c>
      <c r="Y94" s="52">
        <v>135</v>
      </c>
      <c r="Z94" s="53">
        <v>8.0000000000000004E-4</v>
      </c>
      <c r="AB94" s="57">
        <v>538.6</v>
      </c>
      <c r="AC94" s="59">
        <v>269</v>
      </c>
      <c r="AD94" s="63">
        <v>8.0000000000000004E-4</v>
      </c>
      <c r="AF94" s="54">
        <v>691.29</v>
      </c>
      <c r="AG94" s="52">
        <v>135</v>
      </c>
      <c r="AH94" s="53">
        <v>8.0000000000000004E-4</v>
      </c>
      <c r="AJ94" s="57">
        <v>337.59</v>
      </c>
      <c r="AK94" s="59">
        <v>269</v>
      </c>
      <c r="AL94" s="63">
        <v>8.0000000000000004E-4</v>
      </c>
    </row>
    <row r="95" spans="1:38" ht="17.25" thickBot="1">
      <c r="A95" s="54">
        <v>538.57000000000005</v>
      </c>
      <c r="B95" s="54">
        <v>337.84</v>
      </c>
      <c r="C95" s="54">
        <v>493.98</v>
      </c>
      <c r="D95" s="54">
        <v>493.67</v>
      </c>
      <c r="E95" s="54">
        <v>539.79999999999995</v>
      </c>
      <c r="F95" s="54">
        <v>277.08</v>
      </c>
      <c r="G95" s="54">
        <v>475.25</v>
      </c>
      <c r="H95" s="54">
        <v>692.45</v>
      </c>
      <c r="I95" s="52">
        <v>120</v>
      </c>
      <c r="J95" s="53">
        <v>6.9999999999999999E-4</v>
      </c>
      <c r="X95" s="54">
        <v>493.67</v>
      </c>
      <c r="Y95" s="52">
        <v>120</v>
      </c>
      <c r="Z95" s="53">
        <v>6.9999999999999999E-4</v>
      </c>
      <c r="AB95" s="54">
        <v>538.79999999999995</v>
      </c>
      <c r="AC95" s="52">
        <v>237</v>
      </c>
      <c r="AD95" s="53">
        <v>6.9999999999999999E-4</v>
      </c>
      <c r="AF95" s="54">
        <v>691.71</v>
      </c>
      <c r="AG95" s="52">
        <v>120</v>
      </c>
      <c r="AH95" s="53">
        <v>6.9999999999999999E-4</v>
      </c>
      <c r="AJ95" s="54">
        <v>337.66</v>
      </c>
      <c r="AK95" s="52">
        <v>237</v>
      </c>
      <c r="AL95" s="53">
        <v>6.9999999999999999E-4</v>
      </c>
    </row>
    <row r="96" spans="1:38" ht="17.25" thickBot="1">
      <c r="A96" s="54">
        <v>538.97</v>
      </c>
      <c r="B96" s="54">
        <v>337.91</v>
      </c>
      <c r="C96" s="54">
        <v>494.11</v>
      </c>
      <c r="D96" s="54">
        <v>494.4</v>
      </c>
      <c r="E96" s="54">
        <v>540.04999999999995</v>
      </c>
      <c r="F96" s="54">
        <v>277.08</v>
      </c>
      <c r="G96" s="54">
        <v>475.38</v>
      </c>
      <c r="H96" s="54">
        <v>692.97</v>
      </c>
      <c r="I96" s="52">
        <v>105</v>
      </c>
      <c r="J96" s="53">
        <v>6.9999999999999999E-4</v>
      </c>
      <c r="X96" s="54">
        <v>494.4</v>
      </c>
      <c r="Y96" s="52">
        <v>105</v>
      </c>
      <c r="Z96" s="53">
        <v>6.9999999999999999E-4</v>
      </c>
      <c r="AB96" s="54">
        <v>539.38</v>
      </c>
      <c r="AC96" s="52">
        <v>209</v>
      </c>
      <c r="AD96" s="53">
        <v>5.9999999999999995E-4</v>
      </c>
      <c r="AF96" s="54">
        <v>691.94</v>
      </c>
      <c r="AG96" s="52">
        <v>105</v>
      </c>
      <c r="AH96" s="53">
        <v>6.9999999999999999E-4</v>
      </c>
      <c r="AJ96" s="54">
        <v>337.9</v>
      </c>
      <c r="AK96" s="52">
        <v>209</v>
      </c>
      <c r="AL96" s="53">
        <v>5.9999999999999995E-4</v>
      </c>
    </row>
    <row r="97" spans="1:38" ht="17.25" thickBot="1">
      <c r="A97" s="54">
        <v>539.21</v>
      </c>
      <c r="B97" s="54">
        <v>338.17</v>
      </c>
      <c r="C97" s="54">
        <v>494.48</v>
      </c>
      <c r="D97" s="54">
        <v>494.58</v>
      </c>
      <c r="E97" s="54">
        <v>540.6</v>
      </c>
      <c r="F97" s="54">
        <v>277.08</v>
      </c>
      <c r="G97" s="54">
        <v>475.73</v>
      </c>
      <c r="H97" s="54">
        <v>693.48</v>
      </c>
      <c r="I97" s="52">
        <v>90</v>
      </c>
      <c r="J97" s="53">
        <v>5.9999999999999995E-4</v>
      </c>
      <c r="X97" s="54">
        <v>494.58</v>
      </c>
      <c r="Y97" s="52">
        <v>90</v>
      </c>
      <c r="Z97" s="53">
        <v>5.9999999999999995E-4</v>
      </c>
      <c r="AB97" s="54">
        <v>539.76</v>
      </c>
      <c r="AC97" s="52">
        <v>178</v>
      </c>
      <c r="AD97" s="53">
        <v>5.0000000000000001E-4</v>
      </c>
      <c r="AF97" s="54">
        <v>692.26</v>
      </c>
      <c r="AG97" s="52">
        <v>90</v>
      </c>
      <c r="AH97" s="53">
        <v>5.9999999999999995E-4</v>
      </c>
      <c r="AJ97" s="54">
        <v>338.05</v>
      </c>
      <c r="AK97" s="52">
        <v>178</v>
      </c>
      <c r="AL97" s="53">
        <v>5.0000000000000001E-4</v>
      </c>
    </row>
    <row r="98" spans="1:38" ht="17.25" thickBot="1">
      <c r="A98" s="54">
        <v>539.69000000000005</v>
      </c>
      <c r="B98" s="54">
        <v>338.38</v>
      </c>
      <c r="C98" s="54">
        <v>494.81</v>
      </c>
      <c r="D98" s="54">
        <v>495.42</v>
      </c>
      <c r="E98" s="54">
        <v>540.9</v>
      </c>
      <c r="F98" s="54">
        <v>277.08</v>
      </c>
      <c r="G98" s="54">
        <v>476.04</v>
      </c>
      <c r="H98" s="54">
        <v>693.91</v>
      </c>
      <c r="I98" s="52">
        <v>75</v>
      </c>
      <c r="J98" s="53">
        <v>5.0000000000000001E-4</v>
      </c>
      <c r="X98" s="54">
        <v>495.42</v>
      </c>
      <c r="Y98" s="52">
        <v>75</v>
      </c>
      <c r="Z98" s="53">
        <v>5.0000000000000001E-4</v>
      </c>
      <c r="AB98" s="54">
        <v>539.98</v>
      </c>
      <c r="AC98" s="52">
        <v>150</v>
      </c>
      <c r="AD98" s="53">
        <v>4.0000000000000002E-4</v>
      </c>
      <c r="AF98" s="54">
        <v>693</v>
      </c>
      <c r="AG98" s="52">
        <v>75</v>
      </c>
      <c r="AH98" s="53">
        <v>5.0000000000000001E-4</v>
      </c>
      <c r="AJ98" s="54">
        <v>338.36</v>
      </c>
      <c r="AK98" s="52">
        <v>150</v>
      </c>
      <c r="AL98" s="53">
        <v>4.0000000000000002E-4</v>
      </c>
    </row>
    <row r="99" spans="1:38" ht="17.25" thickBot="1">
      <c r="A99" s="57">
        <v>540.1</v>
      </c>
      <c r="B99" s="57">
        <v>338.8</v>
      </c>
      <c r="C99" s="57">
        <v>495.36</v>
      </c>
      <c r="D99" s="57">
        <v>495.66</v>
      </c>
      <c r="E99" s="57">
        <v>541.86</v>
      </c>
      <c r="F99" s="57">
        <v>277.2</v>
      </c>
      <c r="G99" s="57">
        <v>476.56</v>
      </c>
      <c r="H99" s="57">
        <v>694.75</v>
      </c>
      <c r="I99" s="59">
        <v>60</v>
      </c>
      <c r="J99" s="63">
        <v>4.0000000000000002E-4</v>
      </c>
      <c r="X99" s="57">
        <v>495.66</v>
      </c>
      <c r="Y99" s="59">
        <v>60</v>
      </c>
      <c r="Z99" s="63">
        <v>4.0000000000000002E-4</v>
      </c>
      <c r="AB99" s="54">
        <v>540.37</v>
      </c>
      <c r="AC99" s="52">
        <v>119</v>
      </c>
      <c r="AD99" s="53">
        <v>4.0000000000000002E-4</v>
      </c>
      <c r="AF99" s="57">
        <v>693.5</v>
      </c>
      <c r="AG99" s="59">
        <v>60</v>
      </c>
      <c r="AH99" s="63">
        <v>4.0000000000000002E-4</v>
      </c>
      <c r="AJ99" s="54">
        <v>338.79</v>
      </c>
      <c r="AK99" s="52">
        <v>119</v>
      </c>
      <c r="AL99" s="53">
        <v>4.0000000000000002E-4</v>
      </c>
    </row>
    <row r="100" spans="1:38" ht="17.25" thickBot="1">
      <c r="A100" s="54">
        <v>541.09</v>
      </c>
      <c r="B100" s="54">
        <v>339.16</v>
      </c>
      <c r="C100" s="54">
        <v>495.94</v>
      </c>
      <c r="D100" s="54">
        <v>496.57</v>
      </c>
      <c r="E100" s="54">
        <v>542.51</v>
      </c>
      <c r="F100" s="54">
        <v>278.33</v>
      </c>
      <c r="G100" s="54">
        <v>477.13</v>
      </c>
      <c r="H100" s="54">
        <v>695.44</v>
      </c>
      <c r="I100" s="52">
        <v>45</v>
      </c>
      <c r="J100" s="53">
        <v>2.9999999999999997E-4</v>
      </c>
      <c r="X100" s="54">
        <v>496.57</v>
      </c>
      <c r="Y100" s="52">
        <v>45</v>
      </c>
      <c r="Z100" s="53">
        <v>2.9999999999999997E-4</v>
      </c>
      <c r="AB100" s="54">
        <v>540.77</v>
      </c>
      <c r="AC100" s="52">
        <v>89</v>
      </c>
      <c r="AD100" s="53">
        <v>2.9999999999999997E-4</v>
      </c>
      <c r="AF100" s="54">
        <v>694.38</v>
      </c>
      <c r="AG100" s="52">
        <v>45</v>
      </c>
      <c r="AH100" s="53">
        <v>2.9999999999999997E-4</v>
      </c>
      <c r="AJ100" s="54">
        <v>339.32</v>
      </c>
      <c r="AK100" s="52">
        <v>89</v>
      </c>
      <c r="AL100" s="53">
        <v>2.9999999999999997E-4</v>
      </c>
    </row>
    <row r="101" spans="1:38" ht="17.25" thickBot="1">
      <c r="A101" s="54">
        <v>541.20000000000005</v>
      </c>
      <c r="B101" s="54">
        <v>339.58</v>
      </c>
      <c r="C101" s="54">
        <v>496.54</v>
      </c>
      <c r="D101" s="54">
        <v>496.57</v>
      </c>
      <c r="E101" s="54">
        <v>542.6</v>
      </c>
      <c r="F101" s="54">
        <v>278.33</v>
      </c>
      <c r="G101" s="54">
        <v>477.71</v>
      </c>
      <c r="H101" s="54">
        <v>696.93</v>
      </c>
      <c r="I101" s="52">
        <v>30</v>
      </c>
      <c r="J101" s="53">
        <v>2.0000000000000001E-4</v>
      </c>
      <c r="X101" s="54">
        <v>496.57</v>
      </c>
      <c r="Y101" s="52">
        <v>30</v>
      </c>
      <c r="Z101" s="53">
        <v>2.0000000000000001E-4</v>
      </c>
      <c r="AB101" s="54">
        <v>541.65</v>
      </c>
      <c r="AC101" s="52">
        <v>58</v>
      </c>
      <c r="AD101" s="53">
        <v>2.0000000000000001E-4</v>
      </c>
      <c r="AF101" s="54">
        <v>695.11</v>
      </c>
      <c r="AG101" s="52">
        <v>30</v>
      </c>
      <c r="AH101" s="53">
        <v>2.0000000000000001E-4</v>
      </c>
      <c r="AJ101" s="54">
        <v>339.63</v>
      </c>
      <c r="AK101" s="52">
        <v>58</v>
      </c>
      <c r="AL101" s="53">
        <v>2.0000000000000001E-4</v>
      </c>
    </row>
    <row r="102" spans="1:38" ht="17.25" thickBot="1">
      <c r="A102" s="54">
        <v>542.1</v>
      </c>
      <c r="B102" s="54">
        <v>340.13</v>
      </c>
      <c r="C102" s="54">
        <v>497.32</v>
      </c>
      <c r="D102" s="54">
        <v>497.83</v>
      </c>
      <c r="E102" s="54">
        <v>543.88</v>
      </c>
      <c r="F102" s="54">
        <v>279.45999999999998</v>
      </c>
      <c r="G102" s="54">
        <v>478.45</v>
      </c>
      <c r="H102" s="54">
        <v>698.53</v>
      </c>
      <c r="I102" s="52">
        <v>15</v>
      </c>
      <c r="J102" s="53">
        <v>1E-4</v>
      </c>
      <c r="X102" s="54">
        <v>497.83</v>
      </c>
      <c r="Y102" s="52">
        <v>15</v>
      </c>
      <c r="Z102" s="53">
        <v>1E-4</v>
      </c>
      <c r="AB102" s="54">
        <v>542.76</v>
      </c>
      <c r="AC102" s="52">
        <v>27</v>
      </c>
      <c r="AD102" s="53">
        <v>1E-4</v>
      </c>
      <c r="AF102" s="54">
        <v>696.24</v>
      </c>
      <c r="AG102" s="52">
        <v>15</v>
      </c>
      <c r="AH102" s="53">
        <v>1E-4</v>
      </c>
      <c r="AJ102" s="54">
        <v>339.73</v>
      </c>
      <c r="AK102" s="52">
        <v>27</v>
      </c>
      <c r="AL102" s="53">
        <v>1E-4</v>
      </c>
    </row>
  </sheetData>
  <sheetProtection algorithmName="SHA-512" hashValue="F1zwi3m+TYGUvPE0EFhu2xZ3Mf9u2uvPBpx8L8HLt0uFzN9e30N0K/Tj6O0afHuGMYH6HWEwcmX1WfKL7oicDg==" saltValue="OuOh+KeqQspqpY27f9hBPQ==" spinCount="100000" sheet="1" objects="1" scenarios="1" selectLockedCells="1" selectUnlockedCells="1"/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C128"/>
  <sheetViews>
    <sheetView topLeftCell="AL1" workbookViewId="0">
      <selection activeCell="AX2" sqref="AI2:AX128"/>
    </sheetView>
  </sheetViews>
  <sheetFormatPr defaultRowHeight="16.5"/>
  <cols>
    <col min="1" max="10" width="9" style="116"/>
    <col min="11" max="11" width="9" style="25"/>
    <col min="12" max="15" width="0" style="25" hidden="1" customWidth="1"/>
    <col min="16" max="18" width="0" style="116" hidden="1" customWidth="1"/>
    <col min="19" max="19" width="0" style="25" hidden="1" customWidth="1"/>
    <col min="20" max="22" width="0" style="116" hidden="1" customWidth="1"/>
    <col min="23" max="23" width="9" style="25" hidden="1" customWidth="1"/>
    <col min="24" max="26" width="0" style="116" hidden="1" customWidth="1"/>
    <col min="27" max="29" width="9" style="25"/>
    <col min="30" max="30" width="9" style="96"/>
    <col min="31" max="33" width="9" style="25"/>
    <col min="35" max="16384" width="9" style="25"/>
  </cols>
  <sheetData>
    <row r="1" spans="1:55" ht="24.75" thickBot="1">
      <c r="A1" s="51" t="s">
        <v>41</v>
      </c>
      <c r="B1" s="51" t="s">
        <v>42</v>
      </c>
      <c r="C1" s="51" t="s">
        <v>89</v>
      </c>
      <c r="D1" s="51" t="s">
        <v>90</v>
      </c>
      <c r="E1" s="51" t="s">
        <v>45</v>
      </c>
      <c r="F1" s="51" t="s">
        <v>91</v>
      </c>
      <c r="G1" s="51" t="s">
        <v>92</v>
      </c>
      <c r="H1" s="51" t="s">
        <v>48</v>
      </c>
      <c r="I1" s="51" t="s">
        <v>87</v>
      </c>
      <c r="J1" s="51" t="s">
        <v>406</v>
      </c>
      <c r="L1" s="51" t="s">
        <v>91</v>
      </c>
      <c r="M1" s="51" t="s">
        <v>87</v>
      </c>
      <c r="N1" s="51" t="s">
        <v>88</v>
      </c>
      <c r="P1" s="51" t="s">
        <v>309</v>
      </c>
      <c r="Q1" s="51" t="s">
        <v>87</v>
      </c>
      <c r="R1" s="51" t="s">
        <v>88</v>
      </c>
      <c r="T1" s="51" t="s">
        <v>310</v>
      </c>
      <c r="U1" s="51" t="s">
        <v>87</v>
      </c>
      <c r="V1" s="51" t="s">
        <v>88</v>
      </c>
      <c r="X1" s="51" t="s">
        <v>90</v>
      </c>
      <c r="Y1" s="51" t="s">
        <v>87</v>
      </c>
      <c r="Z1" s="51" t="s">
        <v>88</v>
      </c>
      <c r="AB1" s="51" t="s">
        <v>441</v>
      </c>
      <c r="AC1" s="51"/>
      <c r="AD1" s="175" t="s">
        <v>442</v>
      </c>
      <c r="AI1" s="178" t="s">
        <v>41</v>
      </c>
      <c r="AJ1" s="178" t="s">
        <v>42</v>
      </c>
      <c r="AK1" s="179" t="s">
        <v>89</v>
      </c>
      <c r="AL1" s="178" t="s">
        <v>403</v>
      </c>
      <c r="AM1" s="178" t="s">
        <v>447</v>
      </c>
      <c r="AN1" s="178" t="s">
        <v>50</v>
      </c>
      <c r="AO1" s="178" t="s">
        <v>448</v>
      </c>
      <c r="AP1" s="178" t="s">
        <v>404</v>
      </c>
      <c r="AQ1" s="178" t="s">
        <v>45</v>
      </c>
      <c r="AR1" s="178" t="s">
        <v>449</v>
      </c>
      <c r="AS1" s="178" t="s">
        <v>450</v>
      </c>
      <c r="AT1" s="178" t="s">
        <v>55</v>
      </c>
      <c r="AU1" s="178" t="s">
        <v>405</v>
      </c>
      <c r="AV1" s="178" t="s">
        <v>451</v>
      </c>
      <c r="AW1" s="178" t="s">
        <v>48</v>
      </c>
      <c r="AX1" s="177" t="s">
        <v>446</v>
      </c>
      <c r="AY1" s="178" t="s">
        <v>49</v>
      </c>
      <c r="AZ1" s="177" t="s">
        <v>446</v>
      </c>
      <c r="BB1" s="51" t="s">
        <v>42</v>
      </c>
      <c r="BC1" s="51" t="s">
        <v>406</v>
      </c>
    </row>
    <row r="2" spans="1:55" ht="24.75" thickBot="1">
      <c r="A2" s="187">
        <v>423.5</v>
      </c>
      <c r="B2" s="187">
        <v>264.5</v>
      </c>
      <c r="C2" s="187">
        <v>386.8</v>
      </c>
      <c r="D2" s="54"/>
      <c r="E2" s="187">
        <v>421.9</v>
      </c>
      <c r="F2" s="54"/>
      <c r="G2" s="187">
        <v>372.6</v>
      </c>
      <c r="H2" s="196">
        <v>534.87</v>
      </c>
      <c r="I2" s="194">
        <v>45</v>
      </c>
      <c r="J2" s="174">
        <f t="shared" ref="J2:J33" si="0">I2/100</f>
        <v>0.45</v>
      </c>
      <c r="L2" s="54">
        <v>257.14</v>
      </c>
      <c r="M2" s="55">
        <v>6698</v>
      </c>
      <c r="N2" s="53">
        <v>4.1799999999999997E-2</v>
      </c>
      <c r="P2" s="54">
        <v>510</v>
      </c>
      <c r="Q2" s="55">
        <v>6698</v>
      </c>
      <c r="R2" s="53">
        <v>4.1799999999999997E-2</v>
      </c>
      <c r="T2" s="54">
        <v>472</v>
      </c>
      <c r="U2" s="55">
        <v>6698</v>
      </c>
      <c r="V2" s="53">
        <v>4.1799999999999997E-2</v>
      </c>
      <c r="X2" s="54">
        <v>463.63</v>
      </c>
      <c r="Y2" s="55">
        <v>6698</v>
      </c>
      <c r="Z2" s="53">
        <v>4.1799999999999997E-2</v>
      </c>
      <c r="AB2" s="187">
        <v>423.9</v>
      </c>
      <c r="AC2" s="170"/>
      <c r="AD2" s="176">
        <v>0.4</v>
      </c>
      <c r="AI2" s="193">
        <v>545</v>
      </c>
      <c r="AJ2" s="193">
        <v>341.9</v>
      </c>
      <c r="AK2" s="193">
        <v>500</v>
      </c>
      <c r="AL2" s="193">
        <v>682.2</v>
      </c>
      <c r="AM2" s="193">
        <v>800</v>
      </c>
      <c r="AN2" s="193">
        <v>478.5</v>
      </c>
      <c r="AO2" s="193">
        <v>1000</v>
      </c>
      <c r="AP2" s="193">
        <v>683.5</v>
      </c>
      <c r="AQ2" s="193">
        <v>546.4</v>
      </c>
      <c r="AR2" s="193">
        <v>700</v>
      </c>
      <c r="AS2" s="193">
        <v>481</v>
      </c>
      <c r="AT2" s="193">
        <v>600</v>
      </c>
      <c r="AU2" s="193">
        <v>504.9</v>
      </c>
      <c r="AV2" s="193">
        <v>594.4</v>
      </c>
      <c r="AW2" s="193">
        <v>1000</v>
      </c>
      <c r="AX2" s="180" t="s">
        <v>452</v>
      </c>
      <c r="AY2" s="186" t="s">
        <v>455</v>
      </c>
      <c r="AZ2" s="180" t="s">
        <v>452</v>
      </c>
      <c r="BB2" s="187">
        <v>265.10000000000002</v>
      </c>
      <c r="BC2" s="176">
        <v>0.4</v>
      </c>
    </row>
    <row r="3" spans="1:55" ht="17.25" thickBot="1">
      <c r="A3" s="187">
        <v>424.5</v>
      </c>
      <c r="B3" s="187">
        <v>265</v>
      </c>
      <c r="C3" s="187">
        <v>387.5</v>
      </c>
      <c r="D3" s="54"/>
      <c r="E3" s="187">
        <v>422.8</v>
      </c>
      <c r="F3" s="54"/>
      <c r="G3" s="187">
        <v>373.4</v>
      </c>
      <c r="H3" s="196">
        <v>536.54999999999995</v>
      </c>
      <c r="I3" s="194">
        <v>44.4</v>
      </c>
      <c r="J3" s="174">
        <f t="shared" si="0"/>
        <v>0.44400000000000001</v>
      </c>
      <c r="L3" s="54">
        <v>257.3</v>
      </c>
      <c r="M3" s="55">
        <v>6597</v>
      </c>
      <c r="N3" s="53">
        <v>4.1200000000000001E-2</v>
      </c>
      <c r="P3" s="56">
        <v>511</v>
      </c>
      <c r="Q3" s="58">
        <v>6397</v>
      </c>
      <c r="R3" s="62">
        <v>3.9899999999999998E-2</v>
      </c>
      <c r="T3" s="54">
        <v>472.5</v>
      </c>
      <c r="U3" s="55">
        <v>6597</v>
      </c>
      <c r="V3" s="53">
        <v>4.1200000000000001E-2</v>
      </c>
      <c r="X3" s="54">
        <v>463.75</v>
      </c>
      <c r="Y3" s="55">
        <v>6597</v>
      </c>
      <c r="Z3" s="53">
        <v>4.1200000000000001E-2</v>
      </c>
      <c r="AB3" s="187">
        <v>424.8</v>
      </c>
      <c r="AC3" s="170"/>
      <c r="AD3" s="176">
        <v>0.39500000000000002</v>
      </c>
      <c r="AI3" s="187">
        <v>423.5</v>
      </c>
      <c r="AJ3" s="187">
        <v>264.5</v>
      </c>
      <c r="AK3" s="187">
        <v>386.8</v>
      </c>
      <c r="AL3" s="187">
        <v>517.79999999999995</v>
      </c>
      <c r="AM3" s="187">
        <v>609</v>
      </c>
      <c r="AN3" s="187">
        <v>363</v>
      </c>
      <c r="AO3" s="187">
        <v>757</v>
      </c>
      <c r="AP3" s="187">
        <v>517.79999999999995</v>
      </c>
      <c r="AQ3" s="187">
        <v>421.9</v>
      </c>
      <c r="AR3" s="187">
        <v>530.9</v>
      </c>
      <c r="AS3" s="187">
        <v>372.6</v>
      </c>
      <c r="AT3" s="187">
        <v>455.5</v>
      </c>
      <c r="AU3" s="187">
        <v>405.1</v>
      </c>
      <c r="AV3" s="187">
        <v>467.4</v>
      </c>
      <c r="AW3" s="196">
        <v>764.1</v>
      </c>
      <c r="AX3" s="174">
        <v>0.45</v>
      </c>
      <c r="AY3" s="187">
        <v>773.9</v>
      </c>
      <c r="AZ3" s="174">
        <v>0.45</v>
      </c>
      <c r="BB3" s="187">
        <v>265.7</v>
      </c>
      <c r="BC3" s="176">
        <v>0.39500000000000002</v>
      </c>
    </row>
    <row r="4" spans="1:55" ht="17.25" thickBot="1">
      <c r="A4" s="187">
        <v>425.3</v>
      </c>
      <c r="B4" s="187">
        <v>265.8</v>
      </c>
      <c r="C4" s="187">
        <v>388.7</v>
      </c>
      <c r="D4" s="54"/>
      <c r="E4" s="187">
        <v>423.8</v>
      </c>
      <c r="F4" s="54"/>
      <c r="G4" s="187">
        <v>374.5</v>
      </c>
      <c r="H4" s="196">
        <v>538.16</v>
      </c>
      <c r="I4" s="194">
        <v>43.8</v>
      </c>
      <c r="J4" s="174">
        <f t="shared" si="0"/>
        <v>0.43799999999999994</v>
      </c>
      <c r="L4" s="54">
        <v>257.39</v>
      </c>
      <c r="M4" s="55">
        <v>6500</v>
      </c>
      <c r="N4" s="53">
        <v>4.0599999999999997E-2</v>
      </c>
      <c r="P4" s="54">
        <v>512</v>
      </c>
      <c r="Q4" s="55">
        <v>5897</v>
      </c>
      <c r="R4" s="53">
        <v>3.6799999999999999E-2</v>
      </c>
      <c r="T4" s="56">
        <v>473</v>
      </c>
      <c r="U4" s="58">
        <v>6397</v>
      </c>
      <c r="V4" s="62">
        <v>3.9899999999999998E-2</v>
      </c>
      <c r="X4" s="54">
        <v>464.1</v>
      </c>
      <c r="Y4" s="55">
        <v>6500</v>
      </c>
      <c r="Z4" s="53">
        <v>4.0599999999999997E-2</v>
      </c>
      <c r="AB4" s="187">
        <v>425.7</v>
      </c>
      <c r="AC4" s="170"/>
      <c r="AD4" s="176">
        <v>0.39</v>
      </c>
      <c r="AI4" s="187">
        <v>424.5</v>
      </c>
      <c r="AJ4" s="187">
        <v>265</v>
      </c>
      <c r="AK4" s="187">
        <v>387.5</v>
      </c>
      <c r="AL4" s="187">
        <v>519.29999999999995</v>
      </c>
      <c r="AM4" s="187">
        <v>610.79999999999995</v>
      </c>
      <c r="AN4" s="187">
        <v>364.1</v>
      </c>
      <c r="AO4" s="187">
        <v>759</v>
      </c>
      <c r="AP4" s="187">
        <v>519.29999999999995</v>
      </c>
      <c r="AQ4" s="187">
        <v>422.8</v>
      </c>
      <c r="AR4" s="187">
        <v>532.5</v>
      </c>
      <c r="AS4" s="187">
        <v>373.4</v>
      </c>
      <c r="AT4" s="187">
        <v>456.7</v>
      </c>
      <c r="AU4" s="187">
        <v>406</v>
      </c>
      <c r="AV4" s="187">
        <v>468.4</v>
      </c>
      <c r="AW4" s="196">
        <v>766.5</v>
      </c>
      <c r="AX4" s="174">
        <v>0.44400000000000001</v>
      </c>
      <c r="AY4" s="187">
        <v>775.7</v>
      </c>
      <c r="AZ4" s="174">
        <v>0.44400000000000001</v>
      </c>
      <c r="BB4" s="187">
        <v>266.3</v>
      </c>
      <c r="BC4" s="176">
        <v>0.39</v>
      </c>
    </row>
    <row r="5" spans="1:55" ht="17.25" thickBot="1">
      <c r="A5" s="187">
        <v>426.1</v>
      </c>
      <c r="B5" s="187">
        <v>266.5</v>
      </c>
      <c r="C5" s="187">
        <v>389.7</v>
      </c>
      <c r="D5" s="56"/>
      <c r="E5" s="187">
        <v>424.7</v>
      </c>
      <c r="F5" s="54"/>
      <c r="G5" s="187">
        <v>375.4</v>
      </c>
      <c r="H5" s="196">
        <v>539.84</v>
      </c>
      <c r="I5" s="194">
        <v>43.2</v>
      </c>
      <c r="J5" s="174">
        <f t="shared" si="0"/>
        <v>0.43200000000000005</v>
      </c>
      <c r="L5" s="56">
        <v>257.60000000000002</v>
      </c>
      <c r="M5" s="58">
        <v>6397</v>
      </c>
      <c r="N5" s="62">
        <v>3.9899999999999998E-2</v>
      </c>
      <c r="P5" s="54">
        <v>513</v>
      </c>
      <c r="Q5" s="55">
        <v>5498</v>
      </c>
      <c r="R5" s="53">
        <v>3.4299999999999997E-2</v>
      </c>
      <c r="T5" s="54">
        <v>473.5</v>
      </c>
      <c r="U5" s="55">
        <v>6199</v>
      </c>
      <c r="V5" s="53">
        <v>3.8699999999999998E-2</v>
      </c>
      <c r="X5" s="56">
        <v>464.25</v>
      </c>
      <c r="Y5" s="58">
        <v>6397</v>
      </c>
      <c r="Z5" s="62">
        <v>3.9899999999999998E-2</v>
      </c>
      <c r="AB5" s="187">
        <v>426.8</v>
      </c>
      <c r="AC5" s="170"/>
      <c r="AD5" s="176">
        <v>0.38500000000000001</v>
      </c>
      <c r="AI5" s="187">
        <v>425.3</v>
      </c>
      <c r="AJ5" s="187">
        <v>265.8</v>
      </c>
      <c r="AK5" s="187">
        <v>388.7</v>
      </c>
      <c r="AL5" s="187">
        <v>521</v>
      </c>
      <c r="AM5" s="187">
        <v>612.70000000000005</v>
      </c>
      <c r="AN5" s="187">
        <v>365.1</v>
      </c>
      <c r="AO5" s="187">
        <v>761</v>
      </c>
      <c r="AP5" s="187">
        <v>521</v>
      </c>
      <c r="AQ5" s="187">
        <v>423.8</v>
      </c>
      <c r="AR5" s="187">
        <v>534.5</v>
      </c>
      <c r="AS5" s="187">
        <v>374.5</v>
      </c>
      <c r="AT5" s="187">
        <v>458.2</v>
      </c>
      <c r="AU5" s="187">
        <v>407</v>
      </c>
      <c r="AV5" s="187">
        <v>469.6</v>
      </c>
      <c r="AW5" s="196">
        <v>768.8</v>
      </c>
      <c r="AX5" s="174">
        <v>0.43799999999999994</v>
      </c>
      <c r="AY5" s="187">
        <v>778</v>
      </c>
      <c r="AZ5" s="174">
        <v>0.43799999999999994</v>
      </c>
      <c r="BB5" s="187">
        <v>267</v>
      </c>
      <c r="BC5" s="176">
        <v>0.38500000000000001</v>
      </c>
    </row>
    <row r="6" spans="1:55" ht="17.25" thickBot="1">
      <c r="A6" s="187">
        <v>427.2</v>
      </c>
      <c r="B6" s="187">
        <v>267.3</v>
      </c>
      <c r="C6" s="187">
        <v>390.8</v>
      </c>
      <c r="D6" s="54"/>
      <c r="E6" s="187">
        <v>425.8</v>
      </c>
      <c r="F6" s="54"/>
      <c r="G6" s="187">
        <v>376.5</v>
      </c>
      <c r="H6" s="196">
        <v>541.44999999999993</v>
      </c>
      <c r="I6" s="194">
        <v>42.6</v>
      </c>
      <c r="J6" s="174">
        <f t="shared" si="0"/>
        <v>0.42599999999999999</v>
      </c>
      <c r="L6" s="54">
        <v>257.63</v>
      </c>
      <c r="M6" s="55">
        <v>6298</v>
      </c>
      <c r="N6" s="53">
        <v>3.9300000000000002E-2</v>
      </c>
      <c r="P6" s="54">
        <v>514</v>
      </c>
      <c r="Q6" s="55">
        <v>5100</v>
      </c>
      <c r="R6" s="53">
        <v>3.1800000000000002E-2</v>
      </c>
      <c r="T6" s="54">
        <v>474</v>
      </c>
      <c r="U6" s="55">
        <v>5997</v>
      </c>
      <c r="V6" s="53">
        <v>3.7400000000000003E-2</v>
      </c>
      <c r="X6" s="54">
        <v>464.4</v>
      </c>
      <c r="Y6" s="55">
        <v>6298</v>
      </c>
      <c r="Z6" s="53">
        <v>3.9300000000000002E-2</v>
      </c>
      <c r="AB6" s="187">
        <v>428</v>
      </c>
      <c r="AC6" s="170"/>
      <c r="AD6" s="176">
        <v>0.38</v>
      </c>
      <c r="AI6" s="187">
        <v>426.1</v>
      </c>
      <c r="AJ6" s="187">
        <v>266.5</v>
      </c>
      <c r="AK6" s="187">
        <v>389.7</v>
      </c>
      <c r="AL6" s="187">
        <v>522.1</v>
      </c>
      <c r="AM6" s="187">
        <v>614.20000000000005</v>
      </c>
      <c r="AN6" s="187">
        <v>366</v>
      </c>
      <c r="AO6" s="187">
        <v>763</v>
      </c>
      <c r="AP6" s="187">
        <v>522.1</v>
      </c>
      <c r="AQ6" s="187">
        <v>424.7</v>
      </c>
      <c r="AR6" s="187">
        <v>535.70000000000005</v>
      </c>
      <c r="AS6" s="187">
        <v>375.4</v>
      </c>
      <c r="AT6" s="187">
        <v>459.7</v>
      </c>
      <c r="AU6" s="187">
        <v>407.6</v>
      </c>
      <c r="AV6" s="187">
        <v>470.8</v>
      </c>
      <c r="AW6" s="196">
        <v>771.2</v>
      </c>
      <c r="AX6" s="174">
        <v>0.43200000000000005</v>
      </c>
      <c r="AY6" s="187">
        <v>780</v>
      </c>
      <c r="AZ6" s="174">
        <v>0.43200000000000005</v>
      </c>
      <c r="BB6" s="187">
        <v>267.60000000000002</v>
      </c>
      <c r="BC6" s="176">
        <v>0.38</v>
      </c>
    </row>
    <row r="7" spans="1:55" ht="17.25" thickBot="1">
      <c r="A7" s="187">
        <v>428.2</v>
      </c>
      <c r="B7" s="187">
        <v>267.8</v>
      </c>
      <c r="C7" s="187">
        <v>391.6</v>
      </c>
      <c r="D7" s="54"/>
      <c r="E7" s="187">
        <v>426.9</v>
      </c>
      <c r="F7" s="54"/>
      <c r="G7" s="187">
        <v>377.3</v>
      </c>
      <c r="H7" s="196">
        <v>542.56999999999994</v>
      </c>
      <c r="I7" s="194">
        <v>42</v>
      </c>
      <c r="J7" s="174">
        <f t="shared" si="0"/>
        <v>0.42</v>
      </c>
      <c r="L7" s="54">
        <v>257.72000000000003</v>
      </c>
      <c r="M7" s="55">
        <v>6199</v>
      </c>
      <c r="N7" s="53">
        <v>3.8699999999999998E-2</v>
      </c>
      <c r="P7" s="54">
        <v>515</v>
      </c>
      <c r="Q7" s="55">
        <v>4700</v>
      </c>
      <c r="R7" s="53">
        <v>2.93E-2</v>
      </c>
      <c r="T7" s="54">
        <v>474.5</v>
      </c>
      <c r="U7" s="55">
        <v>5798</v>
      </c>
      <c r="V7" s="53">
        <v>3.6200000000000003E-2</v>
      </c>
      <c r="X7" s="54">
        <v>464.57</v>
      </c>
      <c r="Y7" s="55">
        <v>6199</v>
      </c>
      <c r="Z7" s="53">
        <v>3.8699999999999998E-2</v>
      </c>
      <c r="AB7" s="187">
        <v>429.1</v>
      </c>
      <c r="AC7" s="170"/>
      <c r="AD7" s="176">
        <v>0.375</v>
      </c>
      <c r="AI7" s="187">
        <v>427.2</v>
      </c>
      <c r="AJ7" s="187">
        <v>267.3</v>
      </c>
      <c r="AK7" s="187">
        <v>390.8</v>
      </c>
      <c r="AL7" s="187">
        <v>523.70000000000005</v>
      </c>
      <c r="AM7" s="187">
        <v>615.79999999999995</v>
      </c>
      <c r="AN7" s="187">
        <v>366.9</v>
      </c>
      <c r="AO7" s="187">
        <v>765.1</v>
      </c>
      <c r="AP7" s="187">
        <v>523.70000000000005</v>
      </c>
      <c r="AQ7" s="187">
        <v>425.8</v>
      </c>
      <c r="AR7" s="187">
        <v>537.70000000000005</v>
      </c>
      <c r="AS7" s="187">
        <v>376.5</v>
      </c>
      <c r="AT7" s="187">
        <v>460.9</v>
      </c>
      <c r="AU7" s="187">
        <v>408.4</v>
      </c>
      <c r="AV7" s="187">
        <v>471.6</v>
      </c>
      <c r="AW7" s="196">
        <v>773.5</v>
      </c>
      <c r="AX7" s="174">
        <v>0.42599999999999999</v>
      </c>
      <c r="AY7" s="187">
        <v>782.2</v>
      </c>
      <c r="AZ7" s="174">
        <v>0.42599999999999999</v>
      </c>
      <c r="BB7" s="187">
        <v>268.2</v>
      </c>
      <c r="BC7" s="176">
        <v>0.375</v>
      </c>
    </row>
    <row r="8" spans="1:55" ht="17.25" thickBot="1">
      <c r="A8" s="187">
        <v>429.1</v>
      </c>
      <c r="B8" s="187">
        <v>268.5</v>
      </c>
      <c r="C8" s="187">
        <v>392.6</v>
      </c>
      <c r="D8" s="54"/>
      <c r="E8" s="187">
        <v>427.9</v>
      </c>
      <c r="F8" s="54"/>
      <c r="G8" s="187">
        <v>378.2</v>
      </c>
      <c r="H8" s="196">
        <v>544.39</v>
      </c>
      <c r="I8" s="194">
        <v>41.4</v>
      </c>
      <c r="J8" s="174">
        <f t="shared" si="0"/>
        <v>0.41399999999999998</v>
      </c>
      <c r="L8" s="54">
        <v>257.97000000000003</v>
      </c>
      <c r="M8" s="55">
        <v>6098</v>
      </c>
      <c r="N8" s="53">
        <v>3.8100000000000002E-2</v>
      </c>
      <c r="P8" s="54">
        <v>516</v>
      </c>
      <c r="Q8" s="55">
        <v>4298</v>
      </c>
      <c r="R8" s="53">
        <v>2.6800000000000001E-2</v>
      </c>
      <c r="T8" s="54">
        <v>475</v>
      </c>
      <c r="U8" s="55">
        <v>5498</v>
      </c>
      <c r="V8" s="53">
        <v>3.4299999999999997E-2</v>
      </c>
      <c r="X8" s="54">
        <v>464.77</v>
      </c>
      <c r="Y8" s="55">
        <v>6098</v>
      </c>
      <c r="Z8" s="53">
        <v>3.8100000000000002E-2</v>
      </c>
      <c r="AB8" s="187">
        <v>430.5</v>
      </c>
      <c r="AC8" s="170"/>
      <c r="AD8" s="176">
        <v>0.37</v>
      </c>
      <c r="AI8" s="187">
        <v>428.2</v>
      </c>
      <c r="AJ8" s="187">
        <v>267.8</v>
      </c>
      <c r="AK8" s="187">
        <v>391.6</v>
      </c>
      <c r="AL8" s="187">
        <v>525.20000000000005</v>
      </c>
      <c r="AM8" s="187">
        <v>617.6</v>
      </c>
      <c r="AN8" s="187">
        <v>367.9</v>
      </c>
      <c r="AO8" s="187">
        <v>767.3</v>
      </c>
      <c r="AP8" s="187">
        <v>525.20000000000005</v>
      </c>
      <c r="AQ8" s="187">
        <v>426.9</v>
      </c>
      <c r="AR8" s="187">
        <v>539.20000000000005</v>
      </c>
      <c r="AS8" s="187">
        <v>377.3</v>
      </c>
      <c r="AT8" s="187">
        <v>462.2</v>
      </c>
      <c r="AU8" s="187">
        <v>409.4</v>
      </c>
      <c r="AV8" s="187">
        <v>473.1</v>
      </c>
      <c r="AW8" s="196">
        <v>775.1</v>
      </c>
      <c r="AX8" s="174">
        <v>0.42</v>
      </c>
      <c r="AY8" s="187">
        <v>783.7</v>
      </c>
      <c r="AZ8" s="174">
        <v>0.42</v>
      </c>
      <c r="BB8" s="187">
        <v>269</v>
      </c>
      <c r="BC8" s="176">
        <v>0.37</v>
      </c>
    </row>
    <row r="9" spans="1:55" ht="17.25" thickBot="1">
      <c r="A9" s="187">
        <v>429.9</v>
      </c>
      <c r="B9" s="187">
        <v>269.10000000000002</v>
      </c>
      <c r="C9" s="187">
        <v>393.5</v>
      </c>
      <c r="D9" s="54"/>
      <c r="E9" s="187">
        <v>428.7</v>
      </c>
      <c r="F9" s="54"/>
      <c r="G9" s="187">
        <v>379</v>
      </c>
      <c r="H9" s="196">
        <v>545.2299999999999</v>
      </c>
      <c r="I9" s="194">
        <v>40.799999999999997</v>
      </c>
      <c r="J9" s="174">
        <f t="shared" si="0"/>
        <v>0.40799999999999997</v>
      </c>
      <c r="L9" s="54">
        <v>258.02999999999997</v>
      </c>
      <c r="M9" s="55">
        <v>5997</v>
      </c>
      <c r="N9" s="53">
        <v>3.7400000000000003E-2</v>
      </c>
      <c r="P9" s="56">
        <v>517</v>
      </c>
      <c r="Q9" s="58">
        <v>3998</v>
      </c>
      <c r="R9" s="62">
        <v>2.5000000000000001E-2</v>
      </c>
      <c r="T9" s="54">
        <v>475.5</v>
      </c>
      <c r="U9" s="55">
        <v>5398</v>
      </c>
      <c r="V9" s="53">
        <v>3.3700000000000001E-2</v>
      </c>
      <c r="X9" s="54">
        <v>465.08</v>
      </c>
      <c r="Y9" s="55">
        <v>5997</v>
      </c>
      <c r="Z9" s="53">
        <v>3.7400000000000003E-2</v>
      </c>
      <c r="AB9" s="187">
        <v>431.6</v>
      </c>
      <c r="AC9" s="170"/>
      <c r="AD9" s="176">
        <v>0.36499999999999999</v>
      </c>
      <c r="AI9" s="187">
        <v>429.1</v>
      </c>
      <c r="AJ9" s="187">
        <v>268.5</v>
      </c>
      <c r="AK9" s="187">
        <v>392.6</v>
      </c>
      <c r="AL9" s="187">
        <v>526.6</v>
      </c>
      <c r="AM9" s="187">
        <v>618.9</v>
      </c>
      <c r="AN9" s="187">
        <v>368.9</v>
      </c>
      <c r="AO9" s="187">
        <v>769.3</v>
      </c>
      <c r="AP9" s="187">
        <v>526.6</v>
      </c>
      <c r="AQ9" s="187">
        <v>427.9</v>
      </c>
      <c r="AR9" s="187">
        <v>540.6</v>
      </c>
      <c r="AS9" s="187">
        <v>378.2</v>
      </c>
      <c r="AT9" s="187">
        <v>463.1</v>
      </c>
      <c r="AU9" s="187">
        <v>410.3</v>
      </c>
      <c r="AV9" s="187">
        <v>473.9</v>
      </c>
      <c r="AW9" s="196">
        <v>777.7</v>
      </c>
      <c r="AX9" s="174">
        <v>0.41399999999999998</v>
      </c>
      <c r="AY9" s="187">
        <v>785.7</v>
      </c>
      <c r="AZ9" s="174">
        <v>0.41399999999999998</v>
      </c>
      <c r="BB9" s="187">
        <v>269.60000000000002</v>
      </c>
      <c r="BC9" s="176">
        <v>0.36499999999999999</v>
      </c>
    </row>
    <row r="10" spans="1:55" ht="17.25" thickBot="1">
      <c r="A10" s="187">
        <v>430.7</v>
      </c>
      <c r="B10" s="187">
        <v>269.7</v>
      </c>
      <c r="C10" s="187">
        <v>394.4</v>
      </c>
      <c r="D10" s="54"/>
      <c r="E10" s="187">
        <v>429.6</v>
      </c>
      <c r="F10" s="54"/>
      <c r="G10" s="187">
        <v>379.9</v>
      </c>
      <c r="H10" s="196">
        <v>546.49</v>
      </c>
      <c r="I10" s="194">
        <v>40.200000000000003</v>
      </c>
      <c r="J10" s="174">
        <f t="shared" si="0"/>
        <v>0.40200000000000002</v>
      </c>
      <c r="L10" s="54">
        <v>258.27999999999997</v>
      </c>
      <c r="M10" s="55">
        <v>5897</v>
      </c>
      <c r="N10" s="53">
        <v>3.6799999999999999E-2</v>
      </c>
      <c r="P10" s="54">
        <v>518</v>
      </c>
      <c r="Q10" s="55">
        <v>3699</v>
      </c>
      <c r="R10" s="53">
        <v>2.3099999999999999E-2</v>
      </c>
      <c r="T10" s="54">
        <v>476</v>
      </c>
      <c r="U10" s="55">
        <v>5197</v>
      </c>
      <c r="V10" s="53">
        <v>3.2399999999999998E-2</v>
      </c>
      <c r="X10" s="54">
        <v>465.33</v>
      </c>
      <c r="Y10" s="55">
        <v>5897</v>
      </c>
      <c r="Z10" s="53">
        <v>3.6799999999999999E-2</v>
      </c>
      <c r="AB10" s="187">
        <v>432.3</v>
      </c>
      <c r="AC10" s="170"/>
      <c r="AD10" s="176">
        <v>0.36</v>
      </c>
      <c r="AI10" s="187">
        <v>429.9</v>
      </c>
      <c r="AJ10" s="187">
        <v>269.10000000000002</v>
      </c>
      <c r="AK10" s="187">
        <v>393.5</v>
      </c>
      <c r="AL10" s="187">
        <v>528.20000000000005</v>
      </c>
      <c r="AM10" s="187">
        <v>620.5</v>
      </c>
      <c r="AN10" s="187">
        <v>370.1</v>
      </c>
      <c r="AO10" s="187">
        <v>771.3</v>
      </c>
      <c r="AP10" s="187">
        <v>528.20000000000005</v>
      </c>
      <c r="AQ10" s="187">
        <v>428.7</v>
      </c>
      <c r="AR10" s="187">
        <v>542.1</v>
      </c>
      <c r="AS10" s="187">
        <v>379</v>
      </c>
      <c r="AT10" s="187">
        <v>464.6</v>
      </c>
      <c r="AU10" s="187">
        <v>411.1</v>
      </c>
      <c r="AV10" s="187">
        <v>474.9</v>
      </c>
      <c r="AW10" s="196">
        <v>778.9</v>
      </c>
      <c r="AX10" s="174">
        <v>0.40799999999999997</v>
      </c>
      <c r="AY10" s="187">
        <v>787.4</v>
      </c>
      <c r="AZ10" s="174">
        <v>0.40799999999999997</v>
      </c>
      <c r="BB10" s="187">
        <v>270.10000000000002</v>
      </c>
      <c r="BC10" s="176">
        <v>0.36</v>
      </c>
    </row>
    <row r="11" spans="1:55" ht="17.25" thickBot="1">
      <c r="A11" s="187">
        <v>431.7</v>
      </c>
      <c r="B11" s="187">
        <v>270.2</v>
      </c>
      <c r="C11" s="187">
        <v>395.1</v>
      </c>
      <c r="D11" s="57"/>
      <c r="E11" s="187">
        <v>430.6</v>
      </c>
      <c r="F11" s="54"/>
      <c r="G11" s="187">
        <v>380.6</v>
      </c>
      <c r="H11" s="196">
        <v>547.75</v>
      </c>
      <c r="I11" s="194">
        <v>39.6</v>
      </c>
      <c r="J11" s="174">
        <f t="shared" si="0"/>
        <v>0.39600000000000002</v>
      </c>
      <c r="L11" s="57">
        <v>258.31</v>
      </c>
      <c r="M11" s="60">
        <v>5798</v>
      </c>
      <c r="N11" s="63">
        <v>3.6200000000000003E-2</v>
      </c>
      <c r="P11" s="57">
        <v>519</v>
      </c>
      <c r="Q11" s="60">
        <v>3299</v>
      </c>
      <c r="R11" s="63">
        <v>2.06E-2</v>
      </c>
      <c r="T11" s="57">
        <v>476.5</v>
      </c>
      <c r="U11" s="60">
        <v>4999</v>
      </c>
      <c r="V11" s="63">
        <v>3.1199999999999999E-2</v>
      </c>
      <c r="X11" s="57">
        <v>465.61</v>
      </c>
      <c r="Y11" s="60">
        <v>5798</v>
      </c>
      <c r="Z11" s="63">
        <v>3.6200000000000003E-2</v>
      </c>
      <c r="AB11" s="187">
        <v>432.8</v>
      </c>
      <c r="AC11" s="170"/>
      <c r="AD11" s="176">
        <v>0.35499999999999998</v>
      </c>
      <c r="AI11" s="187">
        <v>430.7</v>
      </c>
      <c r="AJ11" s="187">
        <v>269.7</v>
      </c>
      <c r="AK11" s="187">
        <v>394.4</v>
      </c>
      <c r="AL11" s="187">
        <v>529.20000000000005</v>
      </c>
      <c r="AM11" s="187">
        <v>622.20000000000005</v>
      </c>
      <c r="AN11" s="187">
        <v>371</v>
      </c>
      <c r="AO11" s="187">
        <v>773.3</v>
      </c>
      <c r="AP11" s="187">
        <v>529.6</v>
      </c>
      <c r="AQ11" s="187">
        <v>429.6</v>
      </c>
      <c r="AR11" s="187">
        <v>543.4</v>
      </c>
      <c r="AS11" s="187">
        <v>379.9</v>
      </c>
      <c r="AT11" s="187">
        <v>465.7</v>
      </c>
      <c r="AU11" s="187">
        <v>411.7</v>
      </c>
      <c r="AV11" s="187">
        <v>475.8</v>
      </c>
      <c r="AW11" s="196">
        <v>780.7</v>
      </c>
      <c r="AX11" s="174">
        <v>0.40200000000000002</v>
      </c>
      <c r="AY11" s="187">
        <v>789.2</v>
      </c>
      <c r="AZ11" s="174">
        <v>0.40200000000000002</v>
      </c>
      <c r="BB11" s="187">
        <v>270.60000000000002</v>
      </c>
      <c r="BC11" s="176">
        <v>0.35499999999999998</v>
      </c>
    </row>
    <row r="12" spans="1:55" ht="17.25" thickBot="1">
      <c r="A12" s="187">
        <v>433</v>
      </c>
      <c r="B12" s="187">
        <v>270.89999999999998</v>
      </c>
      <c r="C12" s="187">
        <v>396.1</v>
      </c>
      <c r="D12" s="54"/>
      <c r="E12" s="187">
        <v>431.5</v>
      </c>
      <c r="F12" s="54"/>
      <c r="G12" s="187">
        <v>381.5</v>
      </c>
      <c r="H12" s="196">
        <v>549.42999999999995</v>
      </c>
      <c r="I12" s="194">
        <v>39</v>
      </c>
      <c r="J12" s="174">
        <f t="shared" si="0"/>
        <v>0.39</v>
      </c>
      <c r="L12" s="54">
        <v>258.58</v>
      </c>
      <c r="M12" s="55">
        <v>5700</v>
      </c>
      <c r="N12" s="53">
        <v>3.56E-2</v>
      </c>
      <c r="P12" s="54">
        <v>520</v>
      </c>
      <c r="Q12" s="55">
        <v>3000</v>
      </c>
      <c r="R12" s="53">
        <v>1.8700000000000001E-2</v>
      </c>
      <c r="T12" s="56">
        <v>477</v>
      </c>
      <c r="U12" s="58">
        <v>4798</v>
      </c>
      <c r="V12" s="62">
        <v>0.03</v>
      </c>
      <c r="X12" s="54">
        <v>465.83</v>
      </c>
      <c r="Y12" s="55">
        <v>5700</v>
      </c>
      <c r="Z12" s="53">
        <v>3.56E-2</v>
      </c>
      <c r="AB12" s="187">
        <v>433.7</v>
      </c>
      <c r="AC12" s="171"/>
      <c r="AD12" s="176">
        <v>0.35</v>
      </c>
      <c r="AI12" s="187">
        <v>431.7</v>
      </c>
      <c r="AJ12" s="187">
        <v>270.2</v>
      </c>
      <c r="AK12" s="187">
        <v>395.1</v>
      </c>
      <c r="AL12" s="187">
        <v>530.29999999999995</v>
      </c>
      <c r="AM12" s="187">
        <v>623.6</v>
      </c>
      <c r="AN12" s="187">
        <v>372.1</v>
      </c>
      <c r="AO12" s="187">
        <v>775.3</v>
      </c>
      <c r="AP12" s="187">
        <v>530.9</v>
      </c>
      <c r="AQ12" s="187">
        <v>430.6</v>
      </c>
      <c r="AR12" s="187">
        <v>544.9</v>
      </c>
      <c r="AS12" s="187">
        <v>380.6</v>
      </c>
      <c r="AT12" s="187">
        <v>466.6</v>
      </c>
      <c r="AU12" s="187">
        <v>412.5</v>
      </c>
      <c r="AV12" s="187">
        <v>477.1</v>
      </c>
      <c r="AW12" s="196">
        <v>782.5</v>
      </c>
      <c r="AX12" s="174">
        <v>0.39600000000000002</v>
      </c>
      <c r="AY12" s="187">
        <v>790.8</v>
      </c>
      <c r="AZ12" s="174">
        <v>0.39600000000000002</v>
      </c>
      <c r="BB12" s="187">
        <v>271.3</v>
      </c>
      <c r="BC12" s="176">
        <v>0.35</v>
      </c>
    </row>
    <row r="13" spans="1:55" ht="17.25" thickBot="1">
      <c r="A13" s="187">
        <v>434.2</v>
      </c>
      <c r="B13" s="187">
        <v>271.60000000000002</v>
      </c>
      <c r="C13" s="187">
        <v>397.2</v>
      </c>
      <c r="D13" s="56"/>
      <c r="E13" s="187">
        <v>432.7</v>
      </c>
      <c r="F13" s="54"/>
      <c r="G13" s="187">
        <v>382.5</v>
      </c>
      <c r="H13" s="196">
        <v>550.97</v>
      </c>
      <c r="I13" s="194">
        <v>38.4</v>
      </c>
      <c r="J13" s="174">
        <f t="shared" si="0"/>
        <v>0.38400000000000001</v>
      </c>
      <c r="L13" s="56">
        <v>258.69</v>
      </c>
      <c r="M13" s="58">
        <v>5598</v>
      </c>
      <c r="N13" s="62">
        <v>3.5000000000000003E-2</v>
      </c>
      <c r="P13" s="54">
        <v>521</v>
      </c>
      <c r="Q13" s="55">
        <v>2700</v>
      </c>
      <c r="R13" s="53">
        <v>1.6899999999999998E-2</v>
      </c>
      <c r="T13" s="54">
        <v>477.5</v>
      </c>
      <c r="U13" s="55">
        <v>4600</v>
      </c>
      <c r="V13" s="53">
        <v>2.87E-2</v>
      </c>
      <c r="X13" s="56">
        <v>466.06</v>
      </c>
      <c r="Y13" s="58">
        <v>5598</v>
      </c>
      <c r="Z13" s="62">
        <v>3.5000000000000003E-2</v>
      </c>
      <c r="AB13" s="187">
        <v>435.4</v>
      </c>
      <c r="AC13" s="170"/>
      <c r="AD13" s="176">
        <v>0.34499999999999997</v>
      </c>
      <c r="AI13" s="187">
        <v>433</v>
      </c>
      <c r="AJ13" s="187">
        <v>270.89999999999998</v>
      </c>
      <c r="AK13" s="187">
        <v>396.1</v>
      </c>
      <c r="AL13" s="187">
        <v>531.4</v>
      </c>
      <c r="AM13" s="187">
        <v>625.4</v>
      </c>
      <c r="AN13" s="187">
        <v>373</v>
      </c>
      <c r="AO13" s="187">
        <v>777.3</v>
      </c>
      <c r="AP13" s="187">
        <v>532.20000000000005</v>
      </c>
      <c r="AQ13" s="187">
        <v>431.5</v>
      </c>
      <c r="AR13" s="187">
        <v>546.1</v>
      </c>
      <c r="AS13" s="187">
        <v>381.5</v>
      </c>
      <c r="AT13" s="187">
        <v>467.7</v>
      </c>
      <c r="AU13" s="187">
        <v>413.3</v>
      </c>
      <c r="AV13" s="187">
        <v>478.2</v>
      </c>
      <c r="AW13" s="196">
        <v>784.9</v>
      </c>
      <c r="AX13" s="174">
        <v>0.39</v>
      </c>
      <c r="AY13" s="187">
        <v>792.4</v>
      </c>
      <c r="AZ13" s="174">
        <v>0.39</v>
      </c>
      <c r="BB13" s="187">
        <v>272.10000000000002</v>
      </c>
      <c r="BC13" s="176">
        <v>0.34499999999999997</v>
      </c>
    </row>
    <row r="14" spans="1:55" ht="17.25" thickBot="1">
      <c r="A14" s="187">
        <v>435.2</v>
      </c>
      <c r="B14" s="187">
        <v>272.2</v>
      </c>
      <c r="C14" s="187">
        <v>398</v>
      </c>
      <c r="D14" s="54"/>
      <c r="E14" s="187">
        <v>433.9</v>
      </c>
      <c r="F14" s="54"/>
      <c r="G14" s="187">
        <v>383.4</v>
      </c>
      <c r="H14" s="196">
        <v>552.29999999999995</v>
      </c>
      <c r="I14" s="194">
        <v>37.799999999999997</v>
      </c>
      <c r="J14" s="174">
        <f t="shared" si="0"/>
        <v>0.37799999999999995</v>
      </c>
      <c r="L14" s="54">
        <v>258.95999999999998</v>
      </c>
      <c r="M14" s="55">
        <v>5498</v>
      </c>
      <c r="N14" s="53">
        <v>3.4299999999999997E-2</v>
      </c>
      <c r="P14" s="54">
        <v>522</v>
      </c>
      <c r="Q14" s="55">
        <v>2450</v>
      </c>
      <c r="R14" s="53">
        <v>1.5299999999999999E-2</v>
      </c>
      <c r="T14" s="54">
        <v>478</v>
      </c>
      <c r="U14" s="55">
        <v>4497</v>
      </c>
      <c r="V14" s="53">
        <v>2.81E-2</v>
      </c>
      <c r="X14" s="54">
        <v>466.4</v>
      </c>
      <c r="Y14" s="55">
        <v>5498</v>
      </c>
      <c r="Z14" s="53">
        <v>3.4299999999999997E-2</v>
      </c>
      <c r="AB14" s="187">
        <v>436.1</v>
      </c>
      <c r="AC14" s="170"/>
      <c r="AD14" s="176">
        <v>0.34</v>
      </c>
      <c r="AI14" s="187">
        <v>434.2</v>
      </c>
      <c r="AJ14" s="187">
        <v>271.60000000000002</v>
      </c>
      <c r="AK14" s="187">
        <v>397.2</v>
      </c>
      <c r="AL14" s="187">
        <v>533.6</v>
      </c>
      <c r="AM14" s="187">
        <v>627.1</v>
      </c>
      <c r="AN14" s="187">
        <v>374.1</v>
      </c>
      <c r="AO14" s="187">
        <v>779.3</v>
      </c>
      <c r="AP14" s="187">
        <v>533.5</v>
      </c>
      <c r="AQ14" s="187">
        <v>432.7</v>
      </c>
      <c r="AR14" s="187">
        <v>547.9</v>
      </c>
      <c r="AS14" s="187">
        <v>382.5</v>
      </c>
      <c r="AT14" s="187">
        <v>469.3</v>
      </c>
      <c r="AU14" s="187">
        <v>414.2</v>
      </c>
      <c r="AV14" s="187">
        <v>479.4</v>
      </c>
      <c r="AW14" s="196">
        <v>787.1</v>
      </c>
      <c r="AX14" s="174">
        <v>0.38400000000000001</v>
      </c>
      <c r="AY14" s="187">
        <v>794.6</v>
      </c>
      <c r="AZ14" s="174">
        <v>0.38400000000000001</v>
      </c>
      <c r="BB14" s="187">
        <v>272.89999999999998</v>
      </c>
      <c r="BC14" s="176">
        <v>0.34</v>
      </c>
    </row>
    <row r="15" spans="1:55" ht="17.25" thickBot="1">
      <c r="A15" s="187">
        <v>436.3</v>
      </c>
      <c r="B15" s="187">
        <v>272.8</v>
      </c>
      <c r="C15" s="187">
        <v>398.9</v>
      </c>
      <c r="D15" s="54"/>
      <c r="E15" s="187">
        <v>435.2</v>
      </c>
      <c r="F15" s="54"/>
      <c r="G15" s="187">
        <v>384.2</v>
      </c>
      <c r="H15" s="196">
        <v>553.77</v>
      </c>
      <c r="I15" s="194">
        <v>37.200000000000003</v>
      </c>
      <c r="J15" s="174">
        <f t="shared" si="0"/>
        <v>0.37200000000000005</v>
      </c>
      <c r="L15" s="54">
        <v>259.10000000000002</v>
      </c>
      <c r="M15" s="55">
        <v>5398</v>
      </c>
      <c r="N15" s="53">
        <v>3.3700000000000001E-2</v>
      </c>
      <c r="P15" s="54">
        <v>523</v>
      </c>
      <c r="Q15" s="55">
        <v>2199</v>
      </c>
      <c r="R15" s="53">
        <v>1.37E-2</v>
      </c>
      <c r="T15" s="54">
        <v>478.5</v>
      </c>
      <c r="U15" s="55">
        <v>4298</v>
      </c>
      <c r="V15" s="53">
        <v>2.6800000000000001E-2</v>
      </c>
      <c r="X15" s="54">
        <v>466.6</v>
      </c>
      <c r="Y15" s="55">
        <v>5398</v>
      </c>
      <c r="Z15" s="53">
        <v>3.3700000000000001E-2</v>
      </c>
      <c r="AB15" s="187">
        <v>437.3</v>
      </c>
      <c r="AC15" s="170"/>
      <c r="AD15" s="176">
        <v>0.33500000000000002</v>
      </c>
      <c r="AI15" s="187">
        <v>435.2</v>
      </c>
      <c r="AJ15" s="187">
        <v>272.2</v>
      </c>
      <c r="AK15" s="187">
        <v>398</v>
      </c>
      <c r="AL15" s="187">
        <v>534.79999999999995</v>
      </c>
      <c r="AM15" s="187">
        <v>628.79999999999995</v>
      </c>
      <c r="AN15" s="187">
        <v>375.3</v>
      </c>
      <c r="AO15" s="187">
        <v>781.3</v>
      </c>
      <c r="AP15" s="187">
        <v>534.79999999999995</v>
      </c>
      <c r="AQ15" s="187">
        <v>433.9</v>
      </c>
      <c r="AR15" s="187">
        <v>549.4</v>
      </c>
      <c r="AS15" s="187">
        <v>383.4</v>
      </c>
      <c r="AT15" s="187">
        <v>470.4</v>
      </c>
      <c r="AU15" s="187">
        <v>415</v>
      </c>
      <c r="AV15" s="187">
        <v>480.3</v>
      </c>
      <c r="AW15" s="196">
        <v>789</v>
      </c>
      <c r="AX15" s="174">
        <v>0.37799999999999995</v>
      </c>
      <c r="AY15" s="187">
        <v>796.4</v>
      </c>
      <c r="AZ15" s="174">
        <v>0.37799999999999995</v>
      </c>
      <c r="BB15" s="187">
        <v>273.5</v>
      </c>
      <c r="BC15" s="176">
        <v>0.33500000000000002</v>
      </c>
    </row>
    <row r="16" spans="1:55" ht="17.25" thickBot="1">
      <c r="A16" s="187">
        <v>437.3</v>
      </c>
      <c r="B16" s="187">
        <v>273.39999999999998</v>
      </c>
      <c r="C16" s="187">
        <v>399.8</v>
      </c>
      <c r="D16" s="57"/>
      <c r="E16" s="187">
        <v>436.4</v>
      </c>
      <c r="F16" s="54"/>
      <c r="G16" s="187">
        <v>385.1</v>
      </c>
      <c r="H16" s="196">
        <v>555.16999999999996</v>
      </c>
      <c r="I16" s="194">
        <v>36.6</v>
      </c>
      <c r="J16" s="174">
        <f t="shared" si="0"/>
        <v>0.36599999999999999</v>
      </c>
      <c r="L16" s="57">
        <v>259.26</v>
      </c>
      <c r="M16" s="60">
        <v>5299</v>
      </c>
      <c r="N16" s="63">
        <v>3.3099999999999997E-2</v>
      </c>
      <c r="P16" s="57">
        <v>524</v>
      </c>
      <c r="Q16" s="60">
        <v>1998</v>
      </c>
      <c r="R16" s="63">
        <v>1.2500000000000001E-2</v>
      </c>
      <c r="T16" s="57">
        <v>479</v>
      </c>
      <c r="U16" s="60">
        <v>4099</v>
      </c>
      <c r="V16" s="63">
        <v>2.5600000000000001E-2</v>
      </c>
      <c r="X16" s="57">
        <v>466.86</v>
      </c>
      <c r="Y16" s="60">
        <v>5299</v>
      </c>
      <c r="Z16" s="63">
        <v>3.3099999999999997E-2</v>
      </c>
      <c r="AB16" s="187">
        <v>438</v>
      </c>
      <c r="AC16" s="170"/>
      <c r="AD16" s="176">
        <v>0.33</v>
      </c>
      <c r="AI16" s="187">
        <v>436.3</v>
      </c>
      <c r="AJ16" s="187">
        <v>272.8</v>
      </c>
      <c r="AK16" s="187">
        <v>398.9</v>
      </c>
      <c r="AL16" s="187">
        <v>536.29999999999995</v>
      </c>
      <c r="AM16" s="187">
        <v>630.4</v>
      </c>
      <c r="AN16" s="187">
        <v>376.2</v>
      </c>
      <c r="AO16" s="187">
        <v>783.3</v>
      </c>
      <c r="AP16" s="187">
        <v>536.29999999999995</v>
      </c>
      <c r="AQ16" s="187">
        <v>435.2</v>
      </c>
      <c r="AR16" s="187">
        <v>551</v>
      </c>
      <c r="AS16" s="187">
        <v>384.2</v>
      </c>
      <c r="AT16" s="187">
        <v>471.9</v>
      </c>
      <c r="AU16" s="187">
        <v>415.8</v>
      </c>
      <c r="AV16" s="187">
        <v>481.4</v>
      </c>
      <c r="AW16" s="196">
        <v>791.1</v>
      </c>
      <c r="AX16" s="174">
        <v>0.37200000000000005</v>
      </c>
      <c r="AY16" s="187">
        <v>798</v>
      </c>
      <c r="AZ16" s="174">
        <v>0.37200000000000005</v>
      </c>
      <c r="BB16" s="187">
        <v>274.10000000000002</v>
      </c>
      <c r="BC16" s="176">
        <v>0.33</v>
      </c>
    </row>
    <row r="17" spans="1:55" ht="17.25" thickBot="1">
      <c r="A17" s="187">
        <v>438.3</v>
      </c>
      <c r="B17" s="187">
        <v>274.2</v>
      </c>
      <c r="C17" s="187">
        <v>401</v>
      </c>
      <c r="D17" s="54"/>
      <c r="E17" s="187">
        <v>437.4</v>
      </c>
      <c r="F17" s="54"/>
      <c r="G17" s="187">
        <v>386.2</v>
      </c>
      <c r="H17" s="196">
        <v>556.78</v>
      </c>
      <c r="I17" s="194">
        <v>36</v>
      </c>
      <c r="J17" s="174">
        <f t="shared" si="0"/>
        <v>0.36</v>
      </c>
      <c r="L17" s="54">
        <v>259.32</v>
      </c>
      <c r="M17" s="55">
        <v>5197</v>
      </c>
      <c r="N17" s="53">
        <v>3.2399999999999998E-2</v>
      </c>
      <c r="P17" s="54">
        <v>525</v>
      </c>
      <c r="Q17" s="55">
        <v>1800</v>
      </c>
      <c r="R17" s="53">
        <v>1.12E-2</v>
      </c>
      <c r="T17" s="54">
        <v>479.5</v>
      </c>
      <c r="U17" s="55">
        <v>3900</v>
      </c>
      <c r="V17" s="53">
        <v>2.4400000000000002E-2</v>
      </c>
      <c r="X17" s="54">
        <v>467.11</v>
      </c>
      <c r="Y17" s="55">
        <v>5197</v>
      </c>
      <c r="Z17" s="53">
        <v>3.2399999999999998E-2</v>
      </c>
      <c r="AB17" s="187">
        <v>439.5</v>
      </c>
      <c r="AC17" s="170"/>
      <c r="AD17" s="176">
        <v>0.32500000000000001</v>
      </c>
      <c r="AI17" s="187">
        <v>437.3</v>
      </c>
      <c r="AJ17" s="187">
        <v>273.39999999999998</v>
      </c>
      <c r="AK17" s="187">
        <v>399.8</v>
      </c>
      <c r="AL17" s="187">
        <v>537.70000000000005</v>
      </c>
      <c r="AM17" s="187">
        <v>632</v>
      </c>
      <c r="AN17" s="187">
        <v>377.2</v>
      </c>
      <c r="AO17" s="187">
        <v>785.3</v>
      </c>
      <c r="AP17" s="187">
        <v>537.70000000000005</v>
      </c>
      <c r="AQ17" s="187">
        <v>436.4</v>
      </c>
      <c r="AR17" s="187">
        <v>552.5</v>
      </c>
      <c r="AS17" s="187">
        <v>385.1</v>
      </c>
      <c r="AT17" s="187">
        <v>473.1</v>
      </c>
      <c r="AU17" s="187">
        <v>416.6</v>
      </c>
      <c r="AV17" s="187">
        <v>482.4</v>
      </c>
      <c r="AW17" s="196">
        <v>793.1</v>
      </c>
      <c r="AX17" s="174">
        <v>0.36599999999999999</v>
      </c>
      <c r="AY17" s="187">
        <v>800</v>
      </c>
      <c r="AZ17" s="174">
        <v>0.36599999999999999</v>
      </c>
      <c r="BB17" s="187">
        <v>274.5</v>
      </c>
      <c r="BC17" s="176">
        <v>0.32500000000000001</v>
      </c>
    </row>
    <row r="18" spans="1:55" ht="17.25" thickBot="1">
      <c r="A18" s="187">
        <v>439.4</v>
      </c>
      <c r="B18" s="187">
        <v>274.8</v>
      </c>
      <c r="C18" s="187">
        <v>401.8</v>
      </c>
      <c r="D18" s="54"/>
      <c r="E18" s="187">
        <v>438.4</v>
      </c>
      <c r="F18" s="54"/>
      <c r="G18" s="187">
        <v>387</v>
      </c>
      <c r="H18" s="196">
        <v>558.17999999999995</v>
      </c>
      <c r="I18" s="194">
        <v>35.4</v>
      </c>
      <c r="J18" s="174">
        <f t="shared" si="0"/>
        <v>0.35399999999999998</v>
      </c>
      <c r="L18" s="54">
        <v>259.56</v>
      </c>
      <c r="M18" s="55">
        <v>5100</v>
      </c>
      <c r="N18" s="53">
        <v>3.1800000000000002E-2</v>
      </c>
      <c r="P18" s="54">
        <v>526</v>
      </c>
      <c r="Q18" s="55">
        <v>1549</v>
      </c>
      <c r="R18" s="53">
        <v>9.7000000000000003E-3</v>
      </c>
      <c r="T18" s="54">
        <v>480</v>
      </c>
      <c r="U18" s="55">
        <v>3798</v>
      </c>
      <c r="V18" s="53">
        <v>2.3699999999999999E-2</v>
      </c>
      <c r="X18" s="54">
        <v>467.32</v>
      </c>
      <c r="Y18" s="55">
        <v>5100</v>
      </c>
      <c r="Z18" s="53">
        <v>3.1800000000000002E-2</v>
      </c>
      <c r="AB18" s="187">
        <v>440.6</v>
      </c>
      <c r="AC18" s="170"/>
      <c r="AD18" s="176">
        <v>0.32</v>
      </c>
      <c r="AI18" s="187">
        <v>438.3</v>
      </c>
      <c r="AJ18" s="187">
        <v>274.2</v>
      </c>
      <c r="AK18" s="187">
        <v>401</v>
      </c>
      <c r="AL18" s="187">
        <v>538.79999999999995</v>
      </c>
      <c r="AM18" s="187">
        <v>633.70000000000005</v>
      </c>
      <c r="AN18" s="187">
        <v>378.2</v>
      </c>
      <c r="AO18" s="187">
        <v>787.3</v>
      </c>
      <c r="AP18" s="187">
        <v>538.79999999999995</v>
      </c>
      <c r="AQ18" s="187">
        <v>437.4</v>
      </c>
      <c r="AR18" s="187">
        <v>553.79999999999995</v>
      </c>
      <c r="AS18" s="187">
        <v>386.2</v>
      </c>
      <c r="AT18" s="187">
        <v>474.3</v>
      </c>
      <c r="AU18" s="187">
        <v>417.5</v>
      </c>
      <c r="AV18" s="187">
        <v>483.2</v>
      </c>
      <c r="AW18" s="196">
        <v>795.4</v>
      </c>
      <c r="AX18" s="174">
        <v>0.36</v>
      </c>
      <c r="AY18" s="187">
        <v>802.3</v>
      </c>
      <c r="AZ18" s="174">
        <v>0.36</v>
      </c>
      <c r="BB18" s="187">
        <v>275.10000000000002</v>
      </c>
      <c r="BC18" s="176">
        <v>0.32</v>
      </c>
    </row>
    <row r="19" spans="1:55" ht="17.25" thickBot="1">
      <c r="A19" s="187">
        <v>440.4</v>
      </c>
      <c r="B19" s="187">
        <v>275.5</v>
      </c>
      <c r="C19" s="187">
        <v>402.9</v>
      </c>
      <c r="D19" s="54"/>
      <c r="E19" s="187">
        <v>439.4</v>
      </c>
      <c r="F19" s="54"/>
      <c r="G19" s="187">
        <v>388.1</v>
      </c>
      <c r="H19" s="196">
        <v>559.2299999999999</v>
      </c>
      <c r="I19" s="194">
        <v>34.799999999999997</v>
      </c>
      <c r="J19" s="174">
        <f t="shared" si="0"/>
        <v>0.34799999999999998</v>
      </c>
      <c r="L19" s="54">
        <v>259.58999999999997</v>
      </c>
      <c r="M19" s="55">
        <v>4999</v>
      </c>
      <c r="N19" s="53">
        <v>3.1199999999999999E-2</v>
      </c>
      <c r="P19" s="54">
        <v>527</v>
      </c>
      <c r="Q19" s="55">
        <v>1398</v>
      </c>
      <c r="R19" s="53">
        <v>8.6999999999999994E-3</v>
      </c>
      <c r="T19" s="54">
        <v>480.5</v>
      </c>
      <c r="U19" s="55">
        <v>3598</v>
      </c>
      <c r="V19" s="53">
        <v>2.2499999999999999E-2</v>
      </c>
      <c r="X19" s="54">
        <v>467.52</v>
      </c>
      <c r="Y19" s="55">
        <v>4999</v>
      </c>
      <c r="Z19" s="53">
        <v>3.1199999999999999E-2</v>
      </c>
      <c r="AB19" s="187">
        <v>442.1</v>
      </c>
      <c r="AC19" s="52"/>
      <c r="AD19" s="176">
        <v>0.315</v>
      </c>
      <c r="AI19" s="187">
        <v>439.4</v>
      </c>
      <c r="AJ19" s="187">
        <v>274.8</v>
      </c>
      <c r="AK19" s="187">
        <v>401.8</v>
      </c>
      <c r="AL19" s="187">
        <v>540.20000000000005</v>
      </c>
      <c r="AM19" s="187">
        <v>635.4</v>
      </c>
      <c r="AN19" s="187">
        <v>379.1</v>
      </c>
      <c r="AO19" s="187">
        <v>789.4</v>
      </c>
      <c r="AP19" s="187">
        <v>540.20000000000005</v>
      </c>
      <c r="AQ19" s="187">
        <v>438.4</v>
      </c>
      <c r="AR19" s="187">
        <v>554.9</v>
      </c>
      <c r="AS19" s="187">
        <v>387</v>
      </c>
      <c r="AT19" s="187">
        <v>475.5</v>
      </c>
      <c r="AU19" s="187">
        <v>418.5</v>
      </c>
      <c r="AV19" s="187">
        <v>484.2</v>
      </c>
      <c r="AW19" s="196">
        <v>797.4</v>
      </c>
      <c r="AX19" s="174">
        <v>0.35399999999999998</v>
      </c>
      <c r="AY19" s="187">
        <v>804.1</v>
      </c>
      <c r="AZ19" s="174">
        <v>0.35399999999999998</v>
      </c>
      <c r="BB19" s="187">
        <v>275.89999999999998</v>
      </c>
      <c r="BC19" s="176">
        <v>0.315</v>
      </c>
    </row>
    <row r="20" spans="1:55" ht="17.25" thickBot="1">
      <c r="A20" s="187">
        <v>441.4</v>
      </c>
      <c r="B20" s="187">
        <v>276.10000000000002</v>
      </c>
      <c r="C20" s="187">
        <v>403.7</v>
      </c>
      <c r="D20" s="57"/>
      <c r="E20" s="187">
        <v>440.4</v>
      </c>
      <c r="F20" s="54"/>
      <c r="G20" s="187">
        <v>388.9</v>
      </c>
      <c r="H20" s="196">
        <v>560.14</v>
      </c>
      <c r="I20" s="194">
        <v>34.200000000000003</v>
      </c>
      <c r="J20" s="174">
        <f t="shared" si="0"/>
        <v>0.34200000000000003</v>
      </c>
      <c r="L20" s="57">
        <v>259.85000000000002</v>
      </c>
      <c r="M20" s="60">
        <v>4900</v>
      </c>
      <c r="N20" s="63">
        <v>3.0599999999999999E-2</v>
      </c>
      <c r="P20" s="57">
        <v>528</v>
      </c>
      <c r="Q20" s="60">
        <v>1198</v>
      </c>
      <c r="R20" s="63">
        <v>7.4999999999999997E-3</v>
      </c>
      <c r="T20" s="57">
        <v>481</v>
      </c>
      <c r="U20" s="60">
        <v>3400</v>
      </c>
      <c r="V20" s="63">
        <v>2.12E-2</v>
      </c>
      <c r="X20" s="57">
        <v>467.75</v>
      </c>
      <c r="Y20" s="60">
        <v>4900</v>
      </c>
      <c r="Z20" s="63">
        <v>3.0599999999999999E-2</v>
      </c>
      <c r="AB20" s="187">
        <v>443.1</v>
      </c>
      <c r="AC20" s="59"/>
      <c r="AD20" s="176">
        <v>0.31</v>
      </c>
      <c r="AI20" s="187">
        <v>440.4</v>
      </c>
      <c r="AJ20" s="187">
        <v>275.5</v>
      </c>
      <c r="AK20" s="187">
        <v>402.9</v>
      </c>
      <c r="AL20" s="187">
        <v>541.29999999999995</v>
      </c>
      <c r="AM20" s="187">
        <v>636.79999999999995</v>
      </c>
      <c r="AN20" s="187">
        <v>380</v>
      </c>
      <c r="AO20" s="187">
        <v>791.2</v>
      </c>
      <c r="AP20" s="187">
        <v>541.4</v>
      </c>
      <c r="AQ20" s="187">
        <v>439.4</v>
      </c>
      <c r="AR20" s="187">
        <v>556</v>
      </c>
      <c r="AS20" s="187">
        <v>388.1</v>
      </c>
      <c r="AT20" s="187">
        <v>476.3</v>
      </c>
      <c r="AU20" s="187">
        <v>419.2</v>
      </c>
      <c r="AV20" s="187">
        <v>485.1</v>
      </c>
      <c r="AW20" s="196">
        <v>798.9</v>
      </c>
      <c r="AX20" s="174">
        <v>0.34799999999999998</v>
      </c>
      <c r="AY20" s="187">
        <v>806.3</v>
      </c>
      <c r="AZ20" s="174">
        <v>0.34799999999999998</v>
      </c>
      <c r="BB20" s="187">
        <v>276.60000000000002</v>
      </c>
      <c r="BC20" s="176">
        <v>0.31</v>
      </c>
    </row>
    <row r="21" spans="1:55" ht="17.25" thickBot="1">
      <c r="A21" s="187">
        <v>442.5</v>
      </c>
      <c r="B21" s="187">
        <v>276.7</v>
      </c>
      <c r="C21" s="187">
        <v>404.6</v>
      </c>
      <c r="D21" s="56"/>
      <c r="E21" s="187">
        <v>441.3</v>
      </c>
      <c r="F21" s="54"/>
      <c r="G21" s="187">
        <v>389.7</v>
      </c>
      <c r="H21" s="196">
        <v>561.47</v>
      </c>
      <c r="I21" s="194">
        <v>33.6</v>
      </c>
      <c r="J21" s="174">
        <f t="shared" si="0"/>
        <v>0.33600000000000002</v>
      </c>
      <c r="L21" s="56">
        <v>260</v>
      </c>
      <c r="M21" s="58">
        <v>4798</v>
      </c>
      <c r="N21" s="62">
        <v>0.03</v>
      </c>
      <c r="P21" s="54">
        <v>529</v>
      </c>
      <c r="Q21" s="55">
        <v>1050</v>
      </c>
      <c r="R21" s="53">
        <v>6.6E-3</v>
      </c>
      <c r="T21" s="54">
        <v>481.5</v>
      </c>
      <c r="U21" s="55">
        <v>3299</v>
      </c>
      <c r="V21" s="53">
        <v>2.06E-2</v>
      </c>
      <c r="X21" s="56">
        <v>468.05</v>
      </c>
      <c r="Y21" s="58">
        <v>4798</v>
      </c>
      <c r="Z21" s="62">
        <v>0.03</v>
      </c>
      <c r="AB21" s="187">
        <v>443.9</v>
      </c>
      <c r="AC21" s="52"/>
      <c r="AD21" s="176">
        <v>0.30499999999999999</v>
      </c>
      <c r="AI21" s="187">
        <v>441.4</v>
      </c>
      <c r="AJ21" s="187">
        <v>276.10000000000002</v>
      </c>
      <c r="AK21" s="187">
        <v>403.7</v>
      </c>
      <c r="AL21" s="187">
        <v>542.5</v>
      </c>
      <c r="AM21" s="187">
        <v>638.1</v>
      </c>
      <c r="AN21" s="187">
        <v>380.9</v>
      </c>
      <c r="AO21" s="187">
        <v>792.9</v>
      </c>
      <c r="AP21" s="187">
        <v>542.5</v>
      </c>
      <c r="AQ21" s="187">
        <v>440.4</v>
      </c>
      <c r="AR21" s="187">
        <v>557.1</v>
      </c>
      <c r="AS21" s="187">
        <v>388.9</v>
      </c>
      <c r="AT21" s="187">
        <v>477.3</v>
      </c>
      <c r="AU21" s="187">
        <v>419.9</v>
      </c>
      <c r="AV21" s="187">
        <v>486</v>
      </c>
      <c r="AW21" s="196">
        <v>800.2</v>
      </c>
      <c r="AX21" s="174">
        <v>0.34200000000000003</v>
      </c>
      <c r="AY21" s="187">
        <v>807.6</v>
      </c>
      <c r="AZ21" s="174">
        <v>0.34200000000000003</v>
      </c>
      <c r="BB21" s="187">
        <v>277.2</v>
      </c>
      <c r="BC21" s="176">
        <v>0.30499999999999999</v>
      </c>
    </row>
    <row r="22" spans="1:55" ht="17.25" thickBot="1">
      <c r="A22" s="187">
        <v>443.5</v>
      </c>
      <c r="B22" s="187">
        <v>277.3</v>
      </c>
      <c r="C22" s="187">
        <v>405.5</v>
      </c>
      <c r="D22" s="54"/>
      <c r="E22" s="187">
        <v>442.3</v>
      </c>
      <c r="F22" s="54"/>
      <c r="G22" s="187">
        <v>390.5</v>
      </c>
      <c r="H22" s="196">
        <v>562.87</v>
      </c>
      <c r="I22" s="194">
        <v>33</v>
      </c>
      <c r="J22" s="174">
        <f t="shared" si="0"/>
        <v>0.33</v>
      </c>
      <c r="L22" s="54">
        <v>260.19</v>
      </c>
      <c r="M22" s="55">
        <v>4700</v>
      </c>
      <c r="N22" s="53">
        <v>2.93E-2</v>
      </c>
      <c r="P22" s="54">
        <v>530</v>
      </c>
      <c r="Q22" s="52">
        <v>899</v>
      </c>
      <c r="R22" s="53">
        <v>5.5999999999999999E-3</v>
      </c>
      <c r="T22" s="56">
        <v>482</v>
      </c>
      <c r="U22" s="58">
        <v>3200</v>
      </c>
      <c r="V22" s="62">
        <v>0.02</v>
      </c>
      <c r="X22" s="54">
        <v>468.35</v>
      </c>
      <c r="Y22" s="55">
        <v>4700</v>
      </c>
      <c r="Z22" s="53">
        <v>2.93E-2</v>
      </c>
      <c r="AB22" s="187">
        <v>445</v>
      </c>
      <c r="AC22" s="52"/>
      <c r="AD22" s="176">
        <v>0.3</v>
      </c>
      <c r="AI22" s="187">
        <v>442.5</v>
      </c>
      <c r="AJ22" s="187">
        <v>276.7</v>
      </c>
      <c r="AK22" s="187">
        <v>404.6</v>
      </c>
      <c r="AL22" s="187">
        <v>543.6</v>
      </c>
      <c r="AM22" s="187">
        <v>639.4</v>
      </c>
      <c r="AN22" s="187">
        <v>381.7</v>
      </c>
      <c r="AO22" s="187">
        <v>795.1</v>
      </c>
      <c r="AP22" s="187">
        <v>543.6</v>
      </c>
      <c r="AQ22" s="187">
        <v>441.3</v>
      </c>
      <c r="AR22" s="187">
        <v>558.20000000000005</v>
      </c>
      <c r="AS22" s="187">
        <v>389.7</v>
      </c>
      <c r="AT22" s="187">
        <v>478.3</v>
      </c>
      <c r="AU22" s="187">
        <v>420.7</v>
      </c>
      <c r="AV22" s="187">
        <v>487.2</v>
      </c>
      <c r="AW22" s="196">
        <v>802.1</v>
      </c>
      <c r="AX22" s="174">
        <v>0.33600000000000002</v>
      </c>
      <c r="AY22" s="187">
        <v>809.5</v>
      </c>
      <c r="AZ22" s="174">
        <v>0.33600000000000002</v>
      </c>
      <c r="BB22" s="187">
        <v>277.7</v>
      </c>
      <c r="BC22" s="176">
        <v>0.3</v>
      </c>
    </row>
    <row r="23" spans="1:55" ht="17.25" thickBot="1">
      <c r="A23" s="187">
        <v>444.2</v>
      </c>
      <c r="B23" s="187">
        <v>277.8</v>
      </c>
      <c r="C23" s="187">
        <v>406.3</v>
      </c>
      <c r="D23" s="54"/>
      <c r="E23" s="187">
        <v>443.1</v>
      </c>
      <c r="F23" s="54"/>
      <c r="G23" s="187">
        <v>391.3</v>
      </c>
      <c r="H23" s="196">
        <v>564.27</v>
      </c>
      <c r="I23" s="194">
        <v>32.4</v>
      </c>
      <c r="J23" s="174">
        <f t="shared" si="0"/>
        <v>0.32400000000000001</v>
      </c>
      <c r="L23" s="54">
        <v>260.33999999999997</v>
      </c>
      <c r="M23" s="55">
        <v>4600</v>
      </c>
      <c r="N23" s="53">
        <v>2.87E-2</v>
      </c>
      <c r="P23" s="56">
        <v>531</v>
      </c>
      <c r="Q23" s="61">
        <v>800</v>
      </c>
      <c r="R23" s="62">
        <v>5.0000000000000001E-3</v>
      </c>
      <c r="T23" s="54">
        <v>482.5</v>
      </c>
      <c r="U23" s="55">
        <v>3000</v>
      </c>
      <c r="V23" s="53">
        <v>1.8700000000000001E-2</v>
      </c>
      <c r="X23" s="54">
        <v>468.64</v>
      </c>
      <c r="Y23" s="55">
        <v>4600</v>
      </c>
      <c r="Z23" s="53">
        <v>2.87E-2</v>
      </c>
      <c r="AB23" s="187">
        <v>445.9</v>
      </c>
      <c r="AC23" s="52"/>
      <c r="AD23" s="176">
        <v>0.29499999999999998</v>
      </c>
      <c r="AI23" s="187">
        <v>443.5</v>
      </c>
      <c r="AJ23" s="187">
        <v>277.3</v>
      </c>
      <c r="AK23" s="187">
        <v>405.5</v>
      </c>
      <c r="AL23" s="187">
        <v>545.1</v>
      </c>
      <c r="AM23" s="187">
        <v>640.5</v>
      </c>
      <c r="AN23" s="187">
        <v>382.7</v>
      </c>
      <c r="AO23" s="187">
        <v>797.2</v>
      </c>
      <c r="AP23" s="187">
        <v>545.1</v>
      </c>
      <c r="AQ23" s="187">
        <v>442.3</v>
      </c>
      <c r="AR23" s="187">
        <v>559.70000000000005</v>
      </c>
      <c r="AS23" s="187">
        <v>390.5</v>
      </c>
      <c r="AT23" s="187">
        <v>479.3</v>
      </c>
      <c r="AU23" s="187">
        <v>421.6</v>
      </c>
      <c r="AV23" s="187">
        <v>488.1</v>
      </c>
      <c r="AW23" s="196">
        <v>804.1</v>
      </c>
      <c r="AX23" s="174">
        <v>0.33</v>
      </c>
      <c r="AY23" s="187">
        <v>811.5</v>
      </c>
      <c r="AZ23" s="174">
        <v>0.33</v>
      </c>
      <c r="BB23" s="187">
        <v>278</v>
      </c>
      <c r="BC23" s="176">
        <v>0.29499999999999998</v>
      </c>
    </row>
    <row r="24" spans="1:55" ht="17.25" thickBot="1">
      <c r="A24" s="187">
        <v>445.2</v>
      </c>
      <c r="B24" s="187">
        <v>278.39999999999998</v>
      </c>
      <c r="C24" s="187">
        <v>407</v>
      </c>
      <c r="D24" s="54"/>
      <c r="E24" s="187">
        <v>444</v>
      </c>
      <c r="F24" s="54"/>
      <c r="G24" s="187">
        <v>392</v>
      </c>
      <c r="H24" s="196">
        <v>565.39</v>
      </c>
      <c r="I24" s="194">
        <v>31.8</v>
      </c>
      <c r="J24" s="174">
        <f t="shared" si="0"/>
        <v>0.318</v>
      </c>
      <c r="L24" s="54">
        <v>260.55</v>
      </c>
      <c r="M24" s="55">
        <v>4497</v>
      </c>
      <c r="N24" s="53">
        <v>2.81E-2</v>
      </c>
      <c r="P24" s="54">
        <v>532</v>
      </c>
      <c r="Q24" s="52">
        <v>650</v>
      </c>
      <c r="R24" s="53">
        <v>4.1000000000000003E-3</v>
      </c>
      <c r="T24" s="54">
        <v>483</v>
      </c>
      <c r="U24" s="55">
        <v>2898</v>
      </c>
      <c r="V24" s="53">
        <v>1.8100000000000002E-2</v>
      </c>
      <c r="X24" s="54">
        <v>468.87</v>
      </c>
      <c r="Y24" s="55">
        <v>4497</v>
      </c>
      <c r="Z24" s="53">
        <v>2.81E-2</v>
      </c>
      <c r="AB24" s="187">
        <v>446.8</v>
      </c>
      <c r="AC24" s="52"/>
      <c r="AD24" s="176">
        <v>0.28999999999999998</v>
      </c>
      <c r="AI24" s="187">
        <v>444.2</v>
      </c>
      <c r="AJ24" s="187">
        <v>277.8</v>
      </c>
      <c r="AK24" s="187">
        <v>406.3</v>
      </c>
      <c r="AL24" s="187">
        <v>546.29999999999995</v>
      </c>
      <c r="AM24" s="187">
        <v>641.9</v>
      </c>
      <c r="AN24" s="187">
        <v>383.5</v>
      </c>
      <c r="AO24" s="187">
        <v>799</v>
      </c>
      <c r="AP24" s="187">
        <v>546.70000000000005</v>
      </c>
      <c r="AQ24" s="187">
        <v>443.1</v>
      </c>
      <c r="AR24" s="187">
        <v>560.79999999999995</v>
      </c>
      <c r="AS24" s="187">
        <v>391.3</v>
      </c>
      <c r="AT24" s="187">
        <v>480.2</v>
      </c>
      <c r="AU24" s="187">
        <v>422.3</v>
      </c>
      <c r="AV24" s="187">
        <v>489.1</v>
      </c>
      <c r="AW24" s="196">
        <v>806.1</v>
      </c>
      <c r="AX24" s="174">
        <v>0.32400000000000001</v>
      </c>
      <c r="AY24" s="187">
        <v>813.1</v>
      </c>
      <c r="AZ24" s="174">
        <v>0.32400000000000001</v>
      </c>
      <c r="BB24" s="187">
        <v>278.8</v>
      </c>
      <c r="BC24" s="176">
        <v>0.28999999999999998</v>
      </c>
    </row>
    <row r="25" spans="1:55" ht="17.25" thickBot="1">
      <c r="A25" s="187">
        <v>446.4</v>
      </c>
      <c r="B25" s="187">
        <v>279.10000000000002</v>
      </c>
      <c r="C25" s="187">
        <v>408</v>
      </c>
      <c r="D25" s="54"/>
      <c r="E25" s="187">
        <v>445</v>
      </c>
      <c r="F25" s="54"/>
      <c r="G25" s="187">
        <v>393</v>
      </c>
      <c r="H25" s="196">
        <v>566.65</v>
      </c>
      <c r="I25" s="194">
        <v>31.2</v>
      </c>
      <c r="J25" s="174">
        <f t="shared" si="0"/>
        <v>0.312</v>
      </c>
      <c r="L25" s="54">
        <v>260.66000000000003</v>
      </c>
      <c r="M25" s="55">
        <v>4399</v>
      </c>
      <c r="N25" s="53">
        <v>2.75E-2</v>
      </c>
      <c r="P25" s="54">
        <v>533</v>
      </c>
      <c r="Q25" s="52">
        <v>550</v>
      </c>
      <c r="R25" s="53">
        <v>3.3999999999999998E-3</v>
      </c>
      <c r="T25" s="54">
        <v>483.5</v>
      </c>
      <c r="U25" s="55">
        <v>2700</v>
      </c>
      <c r="V25" s="53">
        <v>1.6899999999999998E-2</v>
      </c>
      <c r="X25" s="54">
        <v>469.17</v>
      </c>
      <c r="Y25" s="55">
        <v>4399</v>
      </c>
      <c r="Z25" s="53">
        <v>2.75E-2</v>
      </c>
      <c r="AB25" s="187">
        <v>448.4</v>
      </c>
      <c r="AC25" s="52"/>
      <c r="AD25" s="176">
        <v>0.28499999999999998</v>
      </c>
      <c r="AI25" s="187">
        <v>445.2</v>
      </c>
      <c r="AJ25" s="187">
        <v>278.39999999999998</v>
      </c>
      <c r="AK25" s="187">
        <v>407</v>
      </c>
      <c r="AL25" s="187">
        <v>547.70000000000005</v>
      </c>
      <c r="AM25" s="187">
        <v>643.20000000000005</v>
      </c>
      <c r="AN25" s="187">
        <v>384.3</v>
      </c>
      <c r="AO25" s="187">
        <v>801</v>
      </c>
      <c r="AP25" s="187">
        <v>548</v>
      </c>
      <c r="AQ25" s="187">
        <v>444</v>
      </c>
      <c r="AR25" s="187">
        <v>561.79999999999995</v>
      </c>
      <c r="AS25" s="187">
        <v>392</v>
      </c>
      <c r="AT25" s="187">
        <v>481.3</v>
      </c>
      <c r="AU25" s="187">
        <v>423</v>
      </c>
      <c r="AV25" s="187">
        <v>490.2</v>
      </c>
      <c r="AW25" s="196">
        <v>807.7</v>
      </c>
      <c r="AX25" s="174">
        <v>0.318</v>
      </c>
      <c r="AY25" s="187">
        <v>814.5</v>
      </c>
      <c r="AZ25" s="174">
        <v>0.318</v>
      </c>
      <c r="BB25" s="187">
        <v>279.60000000000002</v>
      </c>
      <c r="BC25" s="176">
        <v>0.28499999999999998</v>
      </c>
    </row>
    <row r="26" spans="1:55" ht="17.25" thickBot="1">
      <c r="A26" s="187">
        <v>447.5</v>
      </c>
      <c r="B26" s="187">
        <v>279.8</v>
      </c>
      <c r="C26" s="187">
        <v>409.1</v>
      </c>
      <c r="D26" s="57"/>
      <c r="E26" s="187">
        <v>446</v>
      </c>
      <c r="F26" s="54"/>
      <c r="G26" s="187">
        <v>394</v>
      </c>
      <c r="H26" s="196">
        <v>567.84</v>
      </c>
      <c r="I26" s="194">
        <v>30.6</v>
      </c>
      <c r="J26" s="174">
        <f t="shared" si="0"/>
        <v>0.30599999999999999</v>
      </c>
      <c r="L26" s="57">
        <v>260.95</v>
      </c>
      <c r="M26" s="60">
        <v>4298</v>
      </c>
      <c r="N26" s="63">
        <v>2.6800000000000001E-2</v>
      </c>
      <c r="P26" s="113">
        <v>534</v>
      </c>
      <c r="Q26" s="114">
        <v>499</v>
      </c>
      <c r="R26" s="115">
        <v>3.0999999999999999E-3</v>
      </c>
      <c r="T26" s="57">
        <v>484</v>
      </c>
      <c r="U26" s="60">
        <v>2598</v>
      </c>
      <c r="V26" s="63">
        <v>1.6199999999999999E-2</v>
      </c>
      <c r="X26" s="57">
        <v>469.41</v>
      </c>
      <c r="Y26" s="60">
        <v>4298</v>
      </c>
      <c r="Z26" s="63">
        <v>2.6800000000000001E-2</v>
      </c>
      <c r="AB26" s="187">
        <v>449.3</v>
      </c>
      <c r="AC26" s="52"/>
      <c r="AD26" s="176">
        <v>0.28000000000000003</v>
      </c>
      <c r="AI26" s="187">
        <v>446.4</v>
      </c>
      <c r="AJ26" s="187">
        <v>279.10000000000002</v>
      </c>
      <c r="AK26" s="187">
        <v>408</v>
      </c>
      <c r="AL26" s="187">
        <v>549.20000000000005</v>
      </c>
      <c r="AM26" s="187">
        <v>645</v>
      </c>
      <c r="AN26" s="187">
        <v>385</v>
      </c>
      <c r="AO26" s="187">
        <v>802.9</v>
      </c>
      <c r="AP26" s="187">
        <v>549.29999999999995</v>
      </c>
      <c r="AQ26" s="187">
        <v>445</v>
      </c>
      <c r="AR26" s="187">
        <v>563.4</v>
      </c>
      <c r="AS26" s="187">
        <v>393</v>
      </c>
      <c r="AT26" s="187">
        <v>482.4</v>
      </c>
      <c r="AU26" s="187">
        <v>423.9</v>
      </c>
      <c r="AV26" s="187">
        <v>491.3</v>
      </c>
      <c r="AW26" s="196">
        <v>809.5</v>
      </c>
      <c r="AX26" s="174">
        <v>0.312</v>
      </c>
      <c r="AY26" s="187">
        <v>816.4</v>
      </c>
      <c r="AZ26" s="174">
        <v>0.312</v>
      </c>
      <c r="BB26" s="187">
        <v>280.39999999999998</v>
      </c>
      <c r="BC26" s="176">
        <v>0.28000000000000003</v>
      </c>
    </row>
    <row r="27" spans="1:55" ht="17.25" thickBot="1">
      <c r="A27" s="187">
        <v>448.3</v>
      </c>
      <c r="B27" s="187">
        <v>280.3</v>
      </c>
      <c r="C27" s="187">
        <v>409.9</v>
      </c>
      <c r="D27" s="54"/>
      <c r="E27" s="187">
        <v>446.9</v>
      </c>
      <c r="F27" s="54"/>
      <c r="G27" s="187">
        <v>394.7</v>
      </c>
      <c r="H27" s="196">
        <v>569.09999999999991</v>
      </c>
      <c r="I27" s="194">
        <v>30</v>
      </c>
      <c r="J27" s="174">
        <f t="shared" si="0"/>
        <v>0.3</v>
      </c>
      <c r="L27" s="54">
        <v>261</v>
      </c>
      <c r="M27" s="55">
        <v>4198</v>
      </c>
      <c r="N27" s="53">
        <v>2.6200000000000001E-2</v>
      </c>
      <c r="P27" s="54">
        <v>535</v>
      </c>
      <c r="Q27" s="52">
        <v>400</v>
      </c>
      <c r="R27" s="53">
        <v>2.5000000000000001E-3</v>
      </c>
      <c r="T27" s="54">
        <v>484.5</v>
      </c>
      <c r="U27" s="55">
        <v>2450</v>
      </c>
      <c r="V27" s="53">
        <v>1.5299999999999999E-2</v>
      </c>
      <c r="X27" s="54">
        <v>469.77</v>
      </c>
      <c r="Y27" s="55">
        <v>4198</v>
      </c>
      <c r="Z27" s="53">
        <v>2.6200000000000001E-2</v>
      </c>
      <c r="AB27" s="187">
        <v>450.1</v>
      </c>
      <c r="AC27" s="59"/>
      <c r="AD27" s="176">
        <v>0.27500000000000002</v>
      </c>
      <c r="AI27" s="187">
        <v>447.5</v>
      </c>
      <c r="AJ27" s="187">
        <v>279.8</v>
      </c>
      <c r="AK27" s="187">
        <v>409.1</v>
      </c>
      <c r="AL27" s="187">
        <v>550.79999999999995</v>
      </c>
      <c r="AM27" s="187">
        <v>646.9</v>
      </c>
      <c r="AN27" s="187">
        <v>386</v>
      </c>
      <c r="AO27" s="187">
        <v>805</v>
      </c>
      <c r="AP27" s="187">
        <v>550.6</v>
      </c>
      <c r="AQ27" s="187">
        <v>446</v>
      </c>
      <c r="AR27" s="187">
        <v>564.70000000000005</v>
      </c>
      <c r="AS27" s="187">
        <v>394</v>
      </c>
      <c r="AT27" s="187">
        <v>484</v>
      </c>
      <c r="AU27" s="187">
        <v>424.9</v>
      </c>
      <c r="AV27" s="187">
        <v>492.4</v>
      </c>
      <c r="AW27" s="196">
        <v>811.2</v>
      </c>
      <c r="AX27" s="174">
        <v>0.30599999999999999</v>
      </c>
      <c r="AY27" s="187">
        <v>818.4</v>
      </c>
      <c r="AZ27" s="174">
        <v>0.30599999999999999</v>
      </c>
      <c r="BB27" s="187">
        <v>280.89999999999998</v>
      </c>
      <c r="BC27" s="176">
        <v>0.27500000000000002</v>
      </c>
    </row>
    <row r="28" spans="1:55" ht="17.25" thickBot="1">
      <c r="A28" s="187">
        <v>449.1</v>
      </c>
      <c r="B28" s="187">
        <v>280.89999999999998</v>
      </c>
      <c r="C28" s="187">
        <v>410.7</v>
      </c>
      <c r="D28" s="54"/>
      <c r="E28" s="187">
        <v>447.7</v>
      </c>
      <c r="F28" s="54"/>
      <c r="G28" s="187">
        <v>395.5</v>
      </c>
      <c r="H28" s="196">
        <v>570.22</v>
      </c>
      <c r="I28" s="194">
        <v>29.5</v>
      </c>
      <c r="J28" s="174">
        <f t="shared" si="0"/>
        <v>0.29499999999999998</v>
      </c>
      <c r="L28" s="54">
        <v>261.26</v>
      </c>
      <c r="M28" s="55">
        <v>4099</v>
      </c>
      <c r="N28" s="53">
        <v>2.5600000000000001E-2</v>
      </c>
      <c r="P28" s="56">
        <v>536</v>
      </c>
      <c r="Q28" s="61">
        <v>299</v>
      </c>
      <c r="R28" s="62">
        <v>1.9E-3</v>
      </c>
      <c r="T28" s="54">
        <v>485</v>
      </c>
      <c r="U28" s="55">
        <v>2348</v>
      </c>
      <c r="V28" s="53">
        <v>1.47E-2</v>
      </c>
      <c r="X28" s="54">
        <v>470.13</v>
      </c>
      <c r="Y28" s="55">
        <v>4099</v>
      </c>
      <c r="Z28" s="53">
        <v>2.5600000000000001E-2</v>
      </c>
      <c r="AB28" s="187">
        <v>451.3</v>
      </c>
      <c r="AC28" s="52"/>
      <c r="AD28" s="176">
        <v>0.27</v>
      </c>
      <c r="AI28" s="187">
        <v>448.3</v>
      </c>
      <c r="AJ28" s="187">
        <v>280.3</v>
      </c>
      <c r="AK28" s="187">
        <v>409.9</v>
      </c>
      <c r="AL28" s="187">
        <v>552.1</v>
      </c>
      <c r="AM28" s="187">
        <v>648.5</v>
      </c>
      <c r="AN28" s="187">
        <v>387.1</v>
      </c>
      <c r="AO28" s="187">
        <v>807.3</v>
      </c>
      <c r="AP28" s="187">
        <v>551.9</v>
      </c>
      <c r="AQ28" s="187">
        <v>446.9</v>
      </c>
      <c r="AR28" s="187">
        <v>566.20000000000005</v>
      </c>
      <c r="AS28" s="187">
        <v>394.7</v>
      </c>
      <c r="AT28" s="187">
        <v>485.3</v>
      </c>
      <c r="AU28" s="187">
        <v>425.8</v>
      </c>
      <c r="AV28" s="187">
        <v>493.5</v>
      </c>
      <c r="AW28" s="196">
        <v>813</v>
      </c>
      <c r="AX28" s="174">
        <v>0.3</v>
      </c>
      <c r="AY28" s="187">
        <v>820.1</v>
      </c>
      <c r="AZ28" s="174">
        <v>0.3</v>
      </c>
      <c r="BB28" s="187">
        <v>281.60000000000002</v>
      </c>
      <c r="BC28" s="176">
        <v>0.27</v>
      </c>
    </row>
    <row r="29" spans="1:55" ht="17.25" thickBot="1">
      <c r="A29" s="187">
        <v>449.9</v>
      </c>
      <c r="B29" s="187">
        <v>281.60000000000002</v>
      </c>
      <c r="C29" s="187">
        <v>411.8</v>
      </c>
      <c r="D29" s="56"/>
      <c r="E29" s="187">
        <v>448.8</v>
      </c>
      <c r="F29" s="54"/>
      <c r="G29" s="187">
        <v>396.5</v>
      </c>
      <c r="H29" s="196">
        <v>571.62</v>
      </c>
      <c r="I29" s="194">
        <v>29</v>
      </c>
      <c r="J29" s="174">
        <f t="shared" si="0"/>
        <v>0.28999999999999998</v>
      </c>
      <c r="L29" s="56">
        <v>261.31</v>
      </c>
      <c r="M29" s="58">
        <v>3998</v>
      </c>
      <c r="N29" s="62">
        <v>2.5000000000000001E-2</v>
      </c>
      <c r="P29" s="54">
        <v>537</v>
      </c>
      <c r="Q29" s="52">
        <v>249</v>
      </c>
      <c r="R29" s="53">
        <v>1.6000000000000001E-3</v>
      </c>
      <c r="T29" s="54">
        <v>485.5</v>
      </c>
      <c r="U29" s="55">
        <v>2248</v>
      </c>
      <c r="V29" s="53">
        <v>1.4E-2</v>
      </c>
      <c r="X29" s="56">
        <v>470.46</v>
      </c>
      <c r="Y29" s="58">
        <v>3998</v>
      </c>
      <c r="Z29" s="62">
        <v>2.5000000000000001E-2</v>
      </c>
      <c r="AB29" s="187">
        <v>452.1</v>
      </c>
      <c r="AC29" s="61"/>
      <c r="AD29" s="176">
        <v>0.26500000000000001</v>
      </c>
      <c r="AI29" s="187">
        <v>449.1</v>
      </c>
      <c r="AJ29" s="187">
        <v>280.89999999999998</v>
      </c>
      <c r="AK29" s="187">
        <v>410.7</v>
      </c>
      <c r="AL29" s="187">
        <v>553.4</v>
      </c>
      <c r="AM29" s="187">
        <v>650.29999999999995</v>
      </c>
      <c r="AN29" s="187">
        <v>388</v>
      </c>
      <c r="AO29" s="187">
        <v>809.3</v>
      </c>
      <c r="AP29" s="187">
        <v>553.20000000000005</v>
      </c>
      <c r="AQ29" s="187">
        <v>447.7</v>
      </c>
      <c r="AR29" s="187">
        <v>567.70000000000005</v>
      </c>
      <c r="AS29" s="187">
        <v>395.5</v>
      </c>
      <c r="AT29" s="187">
        <v>486.6</v>
      </c>
      <c r="AU29" s="187">
        <v>426.5</v>
      </c>
      <c r="AV29" s="187">
        <v>494.6</v>
      </c>
      <c r="AW29" s="196">
        <v>814.6</v>
      </c>
      <c r="AX29" s="174">
        <v>0.29499999999999998</v>
      </c>
      <c r="AY29" s="187">
        <v>821.7</v>
      </c>
      <c r="AZ29" s="174">
        <v>0.29499999999999998</v>
      </c>
      <c r="BB29" s="187">
        <v>282.10000000000002</v>
      </c>
      <c r="BC29" s="176">
        <v>0.26500000000000001</v>
      </c>
    </row>
    <row r="30" spans="1:55" ht="17.25" thickBot="1">
      <c r="A30" s="187">
        <v>450.8</v>
      </c>
      <c r="B30" s="187">
        <v>282.10000000000002</v>
      </c>
      <c r="C30" s="187">
        <v>412.5</v>
      </c>
      <c r="D30" s="54"/>
      <c r="E30" s="187">
        <v>449.9</v>
      </c>
      <c r="F30" s="54"/>
      <c r="G30" s="187">
        <v>397.3</v>
      </c>
      <c r="H30" s="196">
        <v>572.80999999999995</v>
      </c>
      <c r="I30" s="194">
        <v>28.5</v>
      </c>
      <c r="J30" s="174">
        <f t="shared" si="0"/>
        <v>0.28499999999999998</v>
      </c>
      <c r="L30" s="54">
        <v>261.56</v>
      </c>
      <c r="M30" s="55">
        <v>3900</v>
      </c>
      <c r="N30" s="53">
        <v>2.4400000000000002E-2</v>
      </c>
      <c r="P30" s="54">
        <v>538</v>
      </c>
      <c r="Q30" s="52">
        <v>200</v>
      </c>
      <c r="R30" s="53">
        <v>1.2999999999999999E-3</v>
      </c>
      <c r="T30" s="54">
        <v>486</v>
      </c>
      <c r="U30" s="55">
        <v>2150</v>
      </c>
      <c r="V30" s="53">
        <v>1.34E-2</v>
      </c>
      <c r="X30" s="54">
        <v>470.68</v>
      </c>
      <c r="Y30" s="55">
        <v>3900</v>
      </c>
      <c r="Z30" s="53">
        <v>2.4400000000000002E-2</v>
      </c>
      <c r="AB30" s="187">
        <v>453.4</v>
      </c>
      <c r="AC30" s="52"/>
      <c r="AD30" s="176">
        <v>0.26</v>
      </c>
      <c r="AI30" s="187">
        <v>449.9</v>
      </c>
      <c r="AJ30" s="187">
        <v>281.60000000000002</v>
      </c>
      <c r="AK30" s="187">
        <v>411.8</v>
      </c>
      <c r="AL30" s="187">
        <v>554.5</v>
      </c>
      <c r="AM30" s="187">
        <v>651.79999999999995</v>
      </c>
      <c r="AN30" s="187">
        <v>389</v>
      </c>
      <c r="AO30" s="187">
        <v>811</v>
      </c>
      <c r="AP30" s="187">
        <v>554.5</v>
      </c>
      <c r="AQ30" s="187">
        <v>448.8</v>
      </c>
      <c r="AR30" s="187">
        <v>569.20000000000005</v>
      </c>
      <c r="AS30" s="187">
        <v>396.5</v>
      </c>
      <c r="AT30" s="187">
        <v>487.5</v>
      </c>
      <c r="AU30" s="187">
        <v>427.2</v>
      </c>
      <c r="AV30" s="187">
        <v>495.7</v>
      </c>
      <c r="AW30" s="196">
        <v>816.6</v>
      </c>
      <c r="AX30" s="174">
        <v>0.28999999999999998</v>
      </c>
      <c r="AY30" s="187">
        <v>823.7</v>
      </c>
      <c r="AZ30" s="174">
        <v>0.28999999999999998</v>
      </c>
      <c r="BB30" s="187">
        <v>282.8</v>
      </c>
      <c r="BC30" s="176">
        <v>0.26</v>
      </c>
    </row>
    <row r="31" spans="1:55" ht="17.25" thickBot="1">
      <c r="A31" s="187">
        <v>452</v>
      </c>
      <c r="B31" s="187">
        <v>282.89999999999998</v>
      </c>
      <c r="C31" s="187">
        <v>413.7</v>
      </c>
      <c r="D31" s="54"/>
      <c r="E31" s="187">
        <v>451</v>
      </c>
      <c r="F31" s="54"/>
      <c r="G31" s="187">
        <v>398.4</v>
      </c>
      <c r="H31" s="196">
        <v>574.28</v>
      </c>
      <c r="I31" s="194">
        <v>28</v>
      </c>
      <c r="J31" s="174">
        <f t="shared" si="0"/>
        <v>0.28000000000000003</v>
      </c>
      <c r="L31" s="54">
        <v>261.64999999999998</v>
      </c>
      <c r="M31" s="55">
        <v>3798</v>
      </c>
      <c r="N31" s="53">
        <v>2.3699999999999999E-2</v>
      </c>
      <c r="P31" s="54">
        <v>539</v>
      </c>
      <c r="Q31" s="52">
        <v>175</v>
      </c>
      <c r="R31" s="53">
        <v>1.1000000000000001E-3</v>
      </c>
      <c r="T31" s="54">
        <v>486.5</v>
      </c>
      <c r="U31" s="55">
        <v>1998</v>
      </c>
      <c r="V31" s="53">
        <v>1.2500000000000001E-2</v>
      </c>
      <c r="X31" s="54">
        <v>471.13</v>
      </c>
      <c r="Y31" s="55">
        <v>3798</v>
      </c>
      <c r="Z31" s="53">
        <v>2.3699999999999999E-2</v>
      </c>
      <c r="AB31" s="187">
        <v>454</v>
      </c>
      <c r="AC31" s="52"/>
      <c r="AD31" s="176">
        <v>0.255</v>
      </c>
      <c r="AI31" s="187">
        <v>450.8</v>
      </c>
      <c r="AJ31" s="187">
        <v>282.10000000000002</v>
      </c>
      <c r="AK31" s="187">
        <v>412.5</v>
      </c>
      <c r="AL31" s="187">
        <v>555.9</v>
      </c>
      <c r="AM31" s="187">
        <v>653.4</v>
      </c>
      <c r="AN31" s="187">
        <v>390</v>
      </c>
      <c r="AO31" s="187">
        <v>813</v>
      </c>
      <c r="AP31" s="187">
        <v>555.9</v>
      </c>
      <c r="AQ31" s="187">
        <v>449.9</v>
      </c>
      <c r="AR31" s="187">
        <v>570.6</v>
      </c>
      <c r="AS31" s="187">
        <v>397.3</v>
      </c>
      <c r="AT31" s="187">
        <v>488.6</v>
      </c>
      <c r="AU31" s="187">
        <v>428.2</v>
      </c>
      <c r="AV31" s="187">
        <v>496.7</v>
      </c>
      <c r="AW31" s="196">
        <v>818.3</v>
      </c>
      <c r="AX31" s="174">
        <v>0.28499999999999998</v>
      </c>
      <c r="AY31" s="187">
        <v>825.7</v>
      </c>
      <c r="AZ31" s="174">
        <v>0.28499999999999998</v>
      </c>
      <c r="BB31" s="187">
        <v>283.3</v>
      </c>
      <c r="BC31" s="176">
        <v>0.255</v>
      </c>
    </row>
    <row r="32" spans="1:55" ht="17.25" thickBot="1">
      <c r="A32" s="187">
        <v>452.8</v>
      </c>
      <c r="B32" s="187">
        <v>283.60000000000002</v>
      </c>
      <c r="C32" s="187">
        <v>414.7</v>
      </c>
      <c r="D32" s="54"/>
      <c r="E32" s="187">
        <v>451.9</v>
      </c>
      <c r="F32" s="54"/>
      <c r="G32" s="187">
        <v>399.3</v>
      </c>
      <c r="H32" s="196">
        <v>575.47</v>
      </c>
      <c r="I32" s="194">
        <v>27.5</v>
      </c>
      <c r="J32" s="174">
        <f t="shared" si="0"/>
        <v>0.27500000000000002</v>
      </c>
      <c r="L32" s="54">
        <v>261.83999999999997</v>
      </c>
      <c r="M32" s="55">
        <v>3699</v>
      </c>
      <c r="N32" s="53">
        <v>2.3099999999999999E-2</v>
      </c>
      <c r="P32" s="54">
        <v>540</v>
      </c>
      <c r="Q32" s="52">
        <v>135</v>
      </c>
      <c r="R32" s="53">
        <v>8.0000000000000004E-4</v>
      </c>
      <c r="T32" s="54">
        <v>487</v>
      </c>
      <c r="U32" s="55">
        <v>1899</v>
      </c>
      <c r="V32" s="53">
        <v>1.1900000000000001E-2</v>
      </c>
      <c r="X32" s="54">
        <v>471.41</v>
      </c>
      <c r="Y32" s="55">
        <v>3699</v>
      </c>
      <c r="Z32" s="53">
        <v>2.3099999999999999E-2</v>
      </c>
      <c r="AB32" s="187">
        <v>455.7</v>
      </c>
      <c r="AC32" s="52"/>
      <c r="AD32" s="176">
        <v>0.25</v>
      </c>
      <c r="AI32" s="187">
        <v>452</v>
      </c>
      <c r="AJ32" s="187">
        <v>282.89999999999998</v>
      </c>
      <c r="AK32" s="187">
        <v>413.7</v>
      </c>
      <c r="AL32" s="187">
        <v>557.4</v>
      </c>
      <c r="AM32" s="187">
        <v>655.20000000000005</v>
      </c>
      <c r="AN32" s="187">
        <v>391</v>
      </c>
      <c r="AO32" s="187">
        <v>815.2</v>
      </c>
      <c r="AP32" s="187">
        <v>557.4</v>
      </c>
      <c r="AQ32" s="187">
        <v>451</v>
      </c>
      <c r="AR32" s="187">
        <v>572.1</v>
      </c>
      <c r="AS32" s="187">
        <v>398.4</v>
      </c>
      <c r="AT32" s="187">
        <v>490</v>
      </c>
      <c r="AU32" s="187">
        <v>428.9</v>
      </c>
      <c r="AV32" s="187">
        <v>497.8</v>
      </c>
      <c r="AW32" s="196">
        <v>820.4</v>
      </c>
      <c r="AX32" s="174">
        <v>0.28000000000000003</v>
      </c>
      <c r="AY32" s="187">
        <v>828</v>
      </c>
      <c r="AZ32" s="174">
        <v>0.28000000000000003</v>
      </c>
      <c r="BB32" s="187">
        <v>284.10000000000002</v>
      </c>
      <c r="BC32" s="176">
        <v>0.25</v>
      </c>
    </row>
    <row r="33" spans="1:55" ht="17.25" thickBot="1">
      <c r="A33" s="187">
        <v>453.8</v>
      </c>
      <c r="B33" s="187">
        <v>284.2</v>
      </c>
      <c r="C33" s="187">
        <v>415.5</v>
      </c>
      <c r="D33" s="54"/>
      <c r="E33" s="187">
        <v>452.8</v>
      </c>
      <c r="F33" s="54"/>
      <c r="G33" s="187">
        <v>400.1</v>
      </c>
      <c r="H33" s="196">
        <v>576.52</v>
      </c>
      <c r="I33" s="194">
        <v>27</v>
      </c>
      <c r="J33" s="174">
        <f t="shared" si="0"/>
        <v>0.27</v>
      </c>
      <c r="L33" s="54">
        <v>262</v>
      </c>
      <c r="M33" s="55">
        <v>3598</v>
      </c>
      <c r="N33" s="53">
        <v>2.2499999999999999E-2</v>
      </c>
      <c r="P33" s="54">
        <v>541</v>
      </c>
      <c r="Q33" s="52">
        <v>90</v>
      </c>
      <c r="R33" s="53">
        <v>5.9999999999999995E-4</v>
      </c>
      <c r="T33" s="54">
        <v>487.5</v>
      </c>
      <c r="U33" s="55">
        <v>1800</v>
      </c>
      <c r="V33" s="53">
        <v>1.12E-2</v>
      </c>
      <c r="X33" s="54">
        <v>471.76</v>
      </c>
      <c r="Y33" s="55">
        <v>3598</v>
      </c>
      <c r="Z33" s="53">
        <v>2.2499999999999999E-2</v>
      </c>
      <c r="AB33" s="187">
        <v>456.3</v>
      </c>
      <c r="AC33" s="52"/>
      <c r="AD33" s="176">
        <v>0.245</v>
      </c>
      <c r="AI33" s="187">
        <v>452.8</v>
      </c>
      <c r="AJ33" s="187">
        <v>283.60000000000002</v>
      </c>
      <c r="AK33" s="187">
        <v>414.7</v>
      </c>
      <c r="AL33" s="187">
        <v>559</v>
      </c>
      <c r="AM33" s="187">
        <v>656.9</v>
      </c>
      <c r="AN33" s="187">
        <v>391.9</v>
      </c>
      <c r="AO33" s="187">
        <v>817</v>
      </c>
      <c r="AP33" s="187">
        <v>559</v>
      </c>
      <c r="AQ33" s="187">
        <v>451.9</v>
      </c>
      <c r="AR33" s="187">
        <v>573.79999999999995</v>
      </c>
      <c r="AS33" s="187">
        <v>399.3</v>
      </c>
      <c r="AT33" s="187">
        <v>491.4</v>
      </c>
      <c r="AU33" s="187">
        <v>429.9</v>
      </c>
      <c r="AV33" s="187">
        <v>498.9</v>
      </c>
      <c r="AW33" s="196">
        <v>822.1</v>
      </c>
      <c r="AX33" s="174">
        <v>0.27500000000000002</v>
      </c>
      <c r="AY33" s="187">
        <v>829.7</v>
      </c>
      <c r="AZ33" s="174">
        <v>0.27500000000000002</v>
      </c>
      <c r="BB33" s="187">
        <v>284.7</v>
      </c>
      <c r="BC33" s="176">
        <v>0.245</v>
      </c>
    </row>
    <row r="34" spans="1:55" ht="17.25" thickBot="1">
      <c r="A34" s="187">
        <v>455</v>
      </c>
      <c r="B34" s="187">
        <v>284.8</v>
      </c>
      <c r="C34" s="187">
        <v>416.4</v>
      </c>
      <c r="D34" s="54"/>
      <c r="E34" s="187">
        <v>453.8</v>
      </c>
      <c r="F34" s="54"/>
      <c r="G34" s="187">
        <v>401</v>
      </c>
      <c r="H34" s="196">
        <v>578.13</v>
      </c>
      <c r="I34" s="194">
        <v>26.5</v>
      </c>
      <c r="J34" s="174">
        <f t="shared" ref="J34:J65" si="1">I34/100</f>
        <v>0.26500000000000001</v>
      </c>
      <c r="L34" s="54">
        <v>262.32</v>
      </c>
      <c r="M34" s="55">
        <v>3499</v>
      </c>
      <c r="N34" s="53">
        <v>2.18E-2</v>
      </c>
      <c r="P34" s="54">
        <v>542</v>
      </c>
      <c r="Q34" s="52">
        <v>60</v>
      </c>
      <c r="R34" s="53">
        <v>4.0000000000000002E-4</v>
      </c>
      <c r="T34" s="54">
        <v>488</v>
      </c>
      <c r="U34" s="55">
        <v>1649</v>
      </c>
      <c r="V34" s="53">
        <v>1.03E-2</v>
      </c>
      <c r="X34" s="54">
        <v>472.12</v>
      </c>
      <c r="Y34" s="55">
        <v>3499</v>
      </c>
      <c r="Z34" s="53">
        <v>2.18E-2</v>
      </c>
      <c r="AB34" s="187">
        <v>457.6</v>
      </c>
      <c r="AC34" s="52"/>
      <c r="AD34" s="176">
        <v>0.24</v>
      </c>
      <c r="AI34" s="187">
        <v>453.8</v>
      </c>
      <c r="AJ34" s="187">
        <v>284.2</v>
      </c>
      <c r="AK34" s="187">
        <v>415.5</v>
      </c>
      <c r="AL34" s="187">
        <v>560.20000000000005</v>
      </c>
      <c r="AM34" s="187">
        <v>658.5</v>
      </c>
      <c r="AN34" s="187">
        <v>392.8</v>
      </c>
      <c r="AO34" s="187">
        <v>819</v>
      </c>
      <c r="AP34" s="187">
        <v>560.20000000000005</v>
      </c>
      <c r="AQ34" s="187">
        <v>452.8</v>
      </c>
      <c r="AR34" s="187">
        <v>575</v>
      </c>
      <c r="AS34" s="187">
        <v>400.1</v>
      </c>
      <c r="AT34" s="187">
        <v>492.5</v>
      </c>
      <c r="AU34" s="187">
        <v>430.6</v>
      </c>
      <c r="AV34" s="187">
        <v>499.8</v>
      </c>
      <c r="AW34" s="196">
        <v>823.6</v>
      </c>
      <c r="AX34" s="174">
        <v>0.27</v>
      </c>
      <c r="AY34" s="187">
        <v>831.3</v>
      </c>
      <c r="AZ34" s="174">
        <v>0.27</v>
      </c>
      <c r="BB34" s="187">
        <v>285.39999999999998</v>
      </c>
      <c r="BC34" s="176">
        <v>0.24</v>
      </c>
    </row>
    <row r="35" spans="1:55" ht="17.25" thickBot="1">
      <c r="A35" s="187">
        <v>455.9</v>
      </c>
      <c r="B35" s="187">
        <v>285.5</v>
      </c>
      <c r="C35" s="187">
        <v>417.2</v>
      </c>
      <c r="D35" s="54"/>
      <c r="E35" s="187">
        <v>454.9</v>
      </c>
      <c r="F35" s="54"/>
      <c r="G35" s="187">
        <v>402</v>
      </c>
      <c r="H35" s="196">
        <v>579.39</v>
      </c>
      <c r="I35" s="194">
        <v>26</v>
      </c>
      <c r="J35" s="174">
        <f t="shared" si="1"/>
        <v>0.26</v>
      </c>
      <c r="L35" s="54">
        <v>262.51</v>
      </c>
      <c r="M35" s="55">
        <v>3400</v>
      </c>
      <c r="N35" s="53">
        <v>2.12E-2</v>
      </c>
      <c r="P35" s="54">
        <v>543</v>
      </c>
      <c r="Q35" s="52">
        <v>45</v>
      </c>
      <c r="R35" s="53">
        <v>2.9999999999999997E-4</v>
      </c>
      <c r="T35" s="54">
        <v>488.5</v>
      </c>
      <c r="U35" s="55">
        <v>1549</v>
      </c>
      <c r="V35" s="53">
        <v>9.7000000000000003E-3</v>
      </c>
      <c r="X35" s="54">
        <v>472.48</v>
      </c>
      <c r="Y35" s="55">
        <v>3400</v>
      </c>
      <c r="Z35" s="53">
        <v>2.12E-2</v>
      </c>
      <c r="AB35" s="187">
        <v>458.9</v>
      </c>
      <c r="AC35" s="52"/>
      <c r="AD35" s="176">
        <v>0.23499999999999999</v>
      </c>
      <c r="AI35" s="187">
        <v>455</v>
      </c>
      <c r="AJ35" s="187">
        <v>284.8</v>
      </c>
      <c r="AK35" s="187">
        <v>416.4</v>
      </c>
      <c r="AL35" s="187">
        <v>561.5</v>
      </c>
      <c r="AM35" s="187">
        <v>660</v>
      </c>
      <c r="AN35" s="187">
        <v>393.7</v>
      </c>
      <c r="AO35" s="187">
        <v>821.2</v>
      </c>
      <c r="AP35" s="187">
        <v>561.5</v>
      </c>
      <c r="AQ35" s="187">
        <v>453.8</v>
      </c>
      <c r="AR35" s="187">
        <v>576.6</v>
      </c>
      <c r="AS35" s="187">
        <v>401</v>
      </c>
      <c r="AT35" s="187">
        <v>493.9</v>
      </c>
      <c r="AU35" s="187">
        <v>431.4</v>
      </c>
      <c r="AV35" s="187">
        <v>500.8</v>
      </c>
      <c r="AW35" s="196">
        <v>825.9</v>
      </c>
      <c r="AX35" s="174">
        <v>0.26500000000000001</v>
      </c>
      <c r="AY35" s="187">
        <v>833.3</v>
      </c>
      <c r="AZ35" s="174">
        <v>0.26500000000000001</v>
      </c>
      <c r="BB35" s="187">
        <v>286.2</v>
      </c>
      <c r="BC35" s="176">
        <v>0.23499999999999999</v>
      </c>
    </row>
    <row r="36" spans="1:55" ht="17.25" thickBot="1">
      <c r="A36" s="187">
        <v>457</v>
      </c>
      <c r="B36" s="187">
        <v>286.2</v>
      </c>
      <c r="C36" s="187">
        <v>418.5</v>
      </c>
      <c r="D36" s="54"/>
      <c r="E36" s="187">
        <v>456</v>
      </c>
      <c r="F36" s="54"/>
      <c r="G36" s="187">
        <v>403</v>
      </c>
      <c r="H36" s="196">
        <v>580.92999999999995</v>
      </c>
      <c r="I36" s="194">
        <v>25.5</v>
      </c>
      <c r="J36" s="174">
        <f t="shared" si="1"/>
        <v>0.255</v>
      </c>
      <c r="L36" s="54">
        <v>262.58999999999997</v>
      </c>
      <c r="M36" s="55">
        <v>3299</v>
      </c>
      <c r="N36" s="53">
        <v>2.06E-2</v>
      </c>
      <c r="P36" s="54">
        <v>544</v>
      </c>
      <c r="Q36" s="52">
        <v>30</v>
      </c>
      <c r="R36" s="53">
        <v>2.0000000000000001E-4</v>
      </c>
      <c r="T36" s="54">
        <v>489</v>
      </c>
      <c r="U36" s="55">
        <v>1450</v>
      </c>
      <c r="V36" s="53">
        <v>9.1000000000000004E-3</v>
      </c>
      <c r="X36" s="54">
        <v>472.89</v>
      </c>
      <c r="Y36" s="55">
        <v>3299</v>
      </c>
      <c r="Z36" s="53">
        <v>2.06E-2</v>
      </c>
      <c r="AB36" s="187">
        <v>460</v>
      </c>
      <c r="AC36" s="52"/>
      <c r="AD36" s="176">
        <v>0.23</v>
      </c>
      <c r="AI36" s="187">
        <v>455.9</v>
      </c>
      <c r="AJ36" s="187">
        <v>285.5</v>
      </c>
      <c r="AK36" s="187">
        <v>417.2</v>
      </c>
      <c r="AL36" s="187">
        <v>562.79999999999995</v>
      </c>
      <c r="AM36" s="187">
        <v>661.5</v>
      </c>
      <c r="AN36" s="187">
        <v>394.7</v>
      </c>
      <c r="AO36" s="187">
        <v>823.2</v>
      </c>
      <c r="AP36" s="187">
        <v>562.79999999999995</v>
      </c>
      <c r="AQ36" s="187">
        <v>454.9</v>
      </c>
      <c r="AR36" s="187">
        <v>578.1</v>
      </c>
      <c r="AS36" s="187">
        <v>402</v>
      </c>
      <c r="AT36" s="187">
        <v>495.1</v>
      </c>
      <c r="AU36" s="187">
        <v>432.2</v>
      </c>
      <c r="AV36" s="187">
        <v>501.9</v>
      </c>
      <c r="AW36" s="196">
        <v>827.7</v>
      </c>
      <c r="AX36" s="174">
        <v>0.26</v>
      </c>
      <c r="AY36" s="187">
        <v>834.6</v>
      </c>
      <c r="AZ36" s="174">
        <v>0.26</v>
      </c>
      <c r="BB36" s="187">
        <v>287</v>
      </c>
      <c r="BC36" s="176">
        <v>0.23</v>
      </c>
    </row>
    <row r="37" spans="1:55" ht="17.25" thickBot="1">
      <c r="A37" s="187">
        <v>458.2</v>
      </c>
      <c r="B37" s="187">
        <v>286.8</v>
      </c>
      <c r="C37" s="187">
        <v>419.3</v>
      </c>
      <c r="D37" s="56"/>
      <c r="E37" s="187">
        <v>457</v>
      </c>
      <c r="F37" s="54"/>
      <c r="G37" s="187">
        <v>403.8</v>
      </c>
      <c r="H37" s="196">
        <v>582.04999999999995</v>
      </c>
      <c r="I37" s="194">
        <v>25</v>
      </c>
      <c r="J37" s="174">
        <f t="shared" si="1"/>
        <v>0.25</v>
      </c>
      <c r="L37" s="56">
        <v>262.72000000000003</v>
      </c>
      <c r="M37" s="58">
        <v>3200</v>
      </c>
      <c r="N37" s="62">
        <v>0.02</v>
      </c>
      <c r="P37" s="54">
        <v>545</v>
      </c>
      <c r="Q37" s="52">
        <v>15</v>
      </c>
      <c r="R37" s="53">
        <v>1E-4</v>
      </c>
      <c r="T37" s="54">
        <v>489.5</v>
      </c>
      <c r="U37" s="55">
        <v>1350</v>
      </c>
      <c r="V37" s="53">
        <v>8.3999999999999995E-3</v>
      </c>
      <c r="X37" s="56">
        <v>473.13</v>
      </c>
      <c r="Y37" s="58">
        <v>3200</v>
      </c>
      <c r="Z37" s="62">
        <v>0.02</v>
      </c>
      <c r="AB37" s="187">
        <v>461</v>
      </c>
      <c r="AC37" s="61"/>
      <c r="AD37" s="176">
        <v>0.22500000000000001</v>
      </c>
      <c r="AI37" s="187">
        <v>457</v>
      </c>
      <c r="AJ37" s="187">
        <v>286.2</v>
      </c>
      <c r="AK37" s="187">
        <v>418.5</v>
      </c>
      <c r="AL37" s="187">
        <v>564.4</v>
      </c>
      <c r="AM37" s="187">
        <v>663.4</v>
      </c>
      <c r="AN37" s="187">
        <v>395.7</v>
      </c>
      <c r="AO37" s="187">
        <v>825.2</v>
      </c>
      <c r="AP37" s="187">
        <v>564.4</v>
      </c>
      <c r="AQ37" s="187">
        <v>456</v>
      </c>
      <c r="AR37" s="187">
        <v>579.9</v>
      </c>
      <c r="AS37" s="187">
        <v>403</v>
      </c>
      <c r="AT37" s="187">
        <v>496.5</v>
      </c>
      <c r="AU37" s="187">
        <v>433.2</v>
      </c>
      <c r="AV37" s="187">
        <v>503.1</v>
      </c>
      <c r="AW37" s="196">
        <v>829.9</v>
      </c>
      <c r="AX37" s="174">
        <v>0.255</v>
      </c>
      <c r="AY37" s="187">
        <v>837</v>
      </c>
      <c r="AZ37" s="174">
        <v>0.255</v>
      </c>
      <c r="BB37" s="187">
        <v>287.60000000000002</v>
      </c>
      <c r="BC37" s="176">
        <v>0.22500000000000001</v>
      </c>
    </row>
    <row r="38" spans="1:55" ht="17.25" thickBot="1">
      <c r="A38" s="187">
        <v>459.2</v>
      </c>
      <c r="B38" s="187">
        <v>287.39999999999998</v>
      </c>
      <c r="C38" s="187">
        <v>420.3</v>
      </c>
      <c r="D38" s="54"/>
      <c r="E38" s="187">
        <v>458</v>
      </c>
      <c r="F38" s="54"/>
      <c r="G38" s="187">
        <v>404.7</v>
      </c>
      <c r="H38" s="196">
        <v>583.59</v>
      </c>
      <c r="I38" s="194">
        <v>24.5</v>
      </c>
      <c r="J38" s="174">
        <f t="shared" si="1"/>
        <v>0.245</v>
      </c>
      <c r="L38" s="54">
        <v>263.19</v>
      </c>
      <c r="M38" s="55">
        <v>3098</v>
      </c>
      <c r="N38" s="53">
        <v>1.9300000000000001E-2</v>
      </c>
      <c r="T38" s="54">
        <v>490</v>
      </c>
      <c r="U38" s="55">
        <v>1248</v>
      </c>
      <c r="V38" s="53">
        <v>7.7999999999999996E-3</v>
      </c>
      <c r="X38" s="54">
        <v>473.53</v>
      </c>
      <c r="Y38" s="55">
        <v>3098</v>
      </c>
      <c r="Z38" s="53">
        <v>1.9300000000000001E-2</v>
      </c>
      <c r="AB38" s="187">
        <v>462</v>
      </c>
      <c r="AC38" s="55"/>
      <c r="AD38" s="176">
        <v>0.22</v>
      </c>
      <c r="AI38" s="187">
        <v>458.2</v>
      </c>
      <c r="AJ38" s="187">
        <v>286.8</v>
      </c>
      <c r="AK38" s="187">
        <v>419.3</v>
      </c>
      <c r="AL38" s="187">
        <v>565.9</v>
      </c>
      <c r="AM38" s="187">
        <v>665</v>
      </c>
      <c r="AN38" s="187">
        <v>396.8</v>
      </c>
      <c r="AO38" s="187">
        <v>827.3</v>
      </c>
      <c r="AP38" s="187">
        <v>565.9</v>
      </c>
      <c r="AQ38" s="187">
        <v>457</v>
      </c>
      <c r="AR38" s="187">
        <v>581.5</v>
      </c>
      <c r="AS38" s="187">
        <v>403.8</v>
      </c>
      <c r="AT38" s="187">
        <v>497.8</v>
      </c>
      <c r="AU38" s="187">
        <v>434.2</v>
      </c>
      <c r="AV38" s="187">
        <v>504.1</v>
      </c>
      <c r="AW38" s="196">
        <v>831.5</v>
      </c>
      <c r="AX38" s="174">
        <v>0.25</v>
      </c>
      <c r="AY38" s="187">
        <v>838.8</v>
      </c>
      <c r="AZ38" s="174">
        <v>0.25</v>
      </c>
      <c r="BB38" s="187">
        <v>288.3</v>
      </c>
      <c r="BC38" s="176">
        <v>0.22</v>
      </c>
    </row>
    <row r="39" spans="1:55" ht="17.25" thickBot="1">
      <c r="A39" s="187">
        <v>460.1</v>
      </c>
      <c r="B39" s="187">
        <v>288</v>
      </c>
      <c r="C39" s="187">
        <v>420.9</v>
      </c>
      <c r="D39" s="54"/>
      <c r="E39" s="187">
        <v>458.9</v>
      </c>
      <c r="F39" s="54"/>
      <c r="G39" s="187">
        <v>405.3</v>
      </c>
      <c r="H39" s="196">
        <v>584.70999999999992</v>
      </c>
      <c r="I39" s="194">
        <v>24</v>
      </c>
      <c r="J39" s="174">
        <f t="shared" si="1"/>
        <v>0.24</v>
      </c>
      <c r="L39" s="54">
        <v>263.33999999999997</v>
      </c>
      <c r="M39" s="55">
        <v>3000</v>
      </c>
      <c r="N39" s="53">
        <v>1.8700000000000001E-2</v>
      </c>
      <c r="T39" s="54">
        <v>490.5</v>
      </c>
      <c r="U39" s="55">
        <v>1149</v>
      </c>
      <c r="V39" s="53">
        <v>7.1999999999999998E-3</v>
      </c>
      <c r="X39" s="54">
        <v>473.81</v>
      </c>
      <c r="Y39" s="55">
        <v>3000</v>
      </c>
      <c r="Z39" s="53">
        <v>1.8700000000000001E-2</v>
      </c>
      <c r="AB39" s="187">
        <v>463.1</v>
      </c>
      <c r="AC39" s="55"/>
      <c r="AD39" s="176">
        <v>0.217</v>
      </c>
      <c r="AI39" s="187">
        <v>459.2</v>
      </c>
      <c r="AJ39" s="187">
        <v>287.39999999999998</v>
      </c>
      <c r="AK39" s="187">
        <v>420.3</v>
      </c>
      <c r="AL39" s="187">
        <v>567.20000000000005</v>
      </c>
      <c r="AM39" s="187">
        <v>666.8</v>
      </c>
      <c r="AN39" s="187">
        <v>398</v>
      </c>
      <c r="AO39" s="187">
        <v>829.6</v>
      </c>
      <c r="AP39" s="187">
        <v>567.29999999999995</v>
      </c>
      <c r="AQ39" s="187">
        <v>458</v>
      </c>
      <c r="AR39" s="187">
        <v>582.70000000000005</v>
      </c>
      <c r="AS39" s="187">
        <v>404.7</v>
      </c>
      <c r="AT39" s="187">
        <v>499</v>
      </c>
      <c r="AU39" s="187">
        <v>434.9</v>
      </c>
      <c r="AV39" s="187">
        <v>505.2</v>
      </c>
      <c r="AW39" s="196">
        <v>833.7</v>
      </c>
      <c r="AX39" s="174">
        <v>0.245</v>
      </c>
      <c r="AY39" s="187">
        <v>840.7</v>
      </c>
      <c r="AZ39" s="174">
        <v>0.245</v>
      </c>
      <c r="BB39" s="187">
        <v>288.89999999999998</v>
      </c>
      <c r="BC39" s="176">
        <v>0.217</v>
      </c>
    </row>
    <row r="40" spans="1:55" ht="17.25" thickBot="1">
      <c r="A40" s="187">
        <v>460.9</v>
      </c>
      <c r="B40" s="187">
        <v>288.5</v>
      </c>
      <c r="C40" s="187">
        <v>421.9</v>
      </c>
      <c r="D40" s="54"/>
      <c r="E40" s="187">
        <v>460</v>
      </c>
      <c r="F40" s="54"/>
      <c r="G40" s="187">
        <v>406.2</v>
      </c>
      <c r="H40" s="196">
        <v>585.82999999999993</v>
      </c>
      <c r="I40" s="194">
        <v>23.5</v>
      </c>
      <c r="J40" s="174">
        <f t="shared" si="1"/>
        <v>0.23499999999999999</v>
      </c>
      <c r="L40" s="54">
        <v>263.55</v>
      </c>
      <c r="M40" s="55">
        <v>2898</v>
      </c>
      <c r="N40" s="53">
        <v>1.8100000000000002E-2</v>
      </c>
      <c r="T40" s="54">
        <v>491</v>
      </c>
      <c r="U40" s="55">
        <v>1099</v>
      </c>
      <c r="V40" s="53">
        <v>6.8999999999999999E-3</v>
      </c>
      <c r="X40" s="54">
        <v>474.11</v>
      </c>
      <c r="Y40" s="55">
        <v>2898</v>
      </c>
      <c r="Z40" s="53">
        <v>1.8100000000000002E-2</v>
      </c>
      <c r="AB40" s="187">
        <v>464</v>
      </c>
      <c r="AC40" s="55"/>
      <c r="AD40" s="176">
        <v>0.21299999999999999</v>
      </c>
      <c r="AI40" s="187">
        <v>460.1</v>
      </c>
      <c r="AJ40" s="187">
        <v>288</v>
      </c>
      <c r="AK40" s="187">
        <v>420.9</v>
      </c>
      <c r="AL40" s="187">
        <v>568.5</v>
      </c>
      <c r="AM40" s="187">
        <v>668.2</v>
      </c>
      <c r="AN40" s="187">
        <v>398.8</v>
      </c>
      <c r="AO40" s="187">
        <v>831.8</v>
      </c>
      <c r="AP40" s="187">
        <v>568.6</v>
      </c>
      <c r="AQ40" s="187">
        <v>458.9</v>
      </c>
      <c r="AR40" s="187">
        <v>583.79999999999995</v>
      </c>
      <c r="AS40" s="187">
        <v>405.3</v>
      </c>
      <c r="AT40" s="187">
        <v>499.9</v>
      </c>
      <c r="AU40" s="187">
        <v>435.8</v>
      </c>
      <c r="AV40" s="187">
        <v>506.3</v>
      </c>
      <c r="AW40" s="196">
        <v>835.3</v>
      </c>
      <c r="AX40" s="174">
        <v>0.24</v>
      </c>
      <c r="AY40" s="187">
        <v>842</v>
      </c>
      <c r="AZ40" s="174">
        <v>0.24</v>
      </c>
      <c r="BB40" s="187">
        <v>289.39999999999998</v>
      </c>
      <c r="BC40" s="176">
        <v>0.21299999999999999</v>
      </c>
    </row>
    <row r="41" spans="1:55" ht="17.25" thickBot="1">
      <c r="A41" s="187">
        <v>461.8</v>
      </c>
      <c r="B41" s="187">
        <v>289.10000000000002</v>
      </c>
      <c r="C41" s="187">
        <v>423</v>
      </c>
      <c r="D41" s="54"/>
      <c r="E41" s="187">
        <v>460.9</v>
      </c>
      <c r="F41" s="54"/>
      <c r="G41" s="187">
        <v>407.3</v>
      </c>
      <c r="H41" s="196">
        <v>587.16</v>
      </c>
      <c r="I41" s="194">
        <v>23</v>
      </c>
      <c r="J41" s="174">
        <f t="shared" si="1"/>
        <v>0.23</v>
      </c>
      <c r="L41" s="54">
        <v>263.69</v>
      </c>
      <c r="M41" s="55">
        <v>2800</v>
      </c>
      <c r="N41" s="53">
        <v>1.7500000000000002E-2</v>
      </c>
      <c r="T41" s="54">
        <v>491.5</v>
      </c>
      <c r="U41" s="52">
        <v>999</v>
      </c>
      <c r="V41" s="53">
        <v>6.1999999999999998E-3</v>
      </c>
      <c r="X41" s="54">
        <v>474.51</v>
      </c>
      <c r="Y41" s="55">
        <v>2800</v>
      </c>
      <c r="Z41" s="53">
        <v>1.7500000000000002E-2</v>
      </c>
      <c r="AB41" s="187">
        <v>464.9</v>
      </c>
      <c r="AC41" s="55"/>
      <c r="AD41" s="176">
        <v>0.21</v>
      </c>
      <c r="AI41" s="187">
        <v>460.9</v>
      </c>
      <c r="AJ41" s="187">
        <v>288.5</v>
      </c>
      <c r="AK41" s="187">
        <v>421.9</v>
      </c>
      <c r="AL41" s="187">
        <v>569.9</v>
      </c>
      <c r="AM41" s="187">
        <v>669.6</v>
      </c>
      <c r="AN41" s="187">
        <v>399.6</v>
      </c>
      <c r="AO41" s="187">
        <v>833.9</v>
      </c>
      <c r="AP41" s="187">
        <v>569.9</v>
      </c>
      <c r="AQ41" s="187">
        <v>460</v>
      </c>
      <c r="AR41" s="187">
        <v>585.5</v>
      </c>
      <c r="AS41" s="187">
        <v>406.2</v>
      </c>
      <c r="AT41" s="187">
        <v>501.1</v>
      </c>
      <c r="AU41" s="187">
        <v>436.6</v>
      </c>
      <c r="AV41" s="187">
        <v>507.3</v>
      </c>
      <c r="AW41" s="196">
        <v>836.9</v>
      </c>
      <c r="AX41" s="174">
        <v>0.23499999999999999</v>
      </c>
      <c r="AY41" s="187">
        <v>844.1</v>
      </c>
      <c r="AZ41" s="174">
        <v>0.23499999999999999</v>
      </c>
      <c r="BB41" s="187">
        <v>290</v>
      </c>
      <c r="BC41" s="176">
        <v>0.21</v>
      </c>
    </row>
    <row r="42" spans="1:55" ht="17.25" thickBot="1">
      <c r="A42" s="187">
        <v>462.7</v>
      </c>
      <c r="B42" s="187">
        <v>289.7</v>
      </c>
      <c r="C42" s="187">
        <v>423.7</v>
      </c>
      <c r="D42" s="57"/>
      <c r="E42" s="187">
        <v>461.7</v>
      </c>
      <c r="F42" s="54"/>
      <c r="G42" s="187">
        <v>408</v>
      </c>
      <c r="H42" s="196">
        <v>588.55999999999995</v>
      </c>
      <c r="I42" s="194">
        <v>22.5</v>
      </c>
      <c r="J42" s="174">
        <f t="shared" si="1"/>
        <v>0.22500000000000001</v>
      </c>
      <c r="L42" s="57">
        <v>264</v>
      </c>
      <c r="M42" s="60">
        <v>2700</v>
      </c>
      <c r="N42" s="63">
        <v>1.6899999999999998E-2</v>
      </c>
      <c r="T42" s="57">
        <v>492</v>
      </c>
      <c r="U42" s="59">
        <v>949</v>
      </c>
      <c r="V42" s="63">
        <v>5.8999999999999999E-3</v>
      </c>
      <c r="X42" s="57">
        <v>474.87</v>
      </c>
      <c r="Y42" s="60">
        <v>2700</v>
      </c>
      <c r="Z42" s="63">
        <v>1.6899999999999998E-2</v>
      </c>
      <c r="AB42" s="187">
        <v>466</v>
      </c>
      <c r="AC42" s="55"/>
      <c r="AD42" s="176">
        <v>0.20499999999999999</v>
      </c>
      <c r="AI42" s="187">
        <v>461.8</v>
      </c>
      <c r="AJ42" s="187">
        <v>289.10000000000002</v>
      </c>
      <c r="AK42" s="187">
        <v>423</v>
      </c>
      <c r="AL42" s="187">
        <v>571.1</v>
      </c>
      <c r="AM42" s="187">
        <v>671.1</v>
      </c>
      <c r="AN42" s="187">
        <v>400.6</v>
      </c>
      <c r="AO42" s="187">
        <v>835.7</v>
      </c>
      <c r="AP42" s="187">
        <v>571.1</v>
      </c>
      <c r="AQ42" s="187">
        <v>460.9</v>
      </c>
      <c r="AR42" s="187">
        <v>586.79999999999995</v>
      </c>
      <c r="AS42" s="187">
        <v>407.3</v>
      </c>
      <c r="AT42" s="187">
        <v>502.3</v>
      </c>
      <c r="AU42" s="187">
        <v>437.5</v>
      </c>
      <c r="AV42" s="187">
        <v>508.4</v>
      </c>
      <c r="AW42" s="196">
        <v>838.8</v>
      </c>
      <c r="AX42" s="174">
        <v>0.23</v>
      </c>
      <c r="AY42" s="187">
        <v>846.3</v>
      </c>
      <c r="AZ42" s="174">
        <v>0.23</v>
      </c>
      <c r="BB42" s="187">
        <v>290.7</v>
      </c>
      <c r="BC42" s="176">
        <v>0.20499999999999999</v>
      </c>
    </row>
    <row r="43" spans="1:55" ht="17.25" thickBot="1">
      <c r="A43" s="187">
        <v>463.9</v>
      </c>
      <c r="B43" s="187">
        <v>290.5</v>
      </c>
      <c r="C43" s="187">
        <v>424.7</v>
      </c>
      <c r="D43" s="54"/>
      <c r="E43" s="187">
        <v>462.9</v>
      </c>
      <c r="F43" s="54"/>
      <c r="G43" s="187">
        <v>409</v>
      </c>
      <c r="H43" s="196">
        <v>590.24</v>
      </c>
      <c r="I43" s="194">
        <v>22</v>
      </c>
      <c r="J43" s="174">
        <f t="shared" si="1"/>
        <v>0.22</v>
      </c>
      <c r="L43" s="54">
        <v>264.02999999999997</v>
      </c>
      <c r="M43" s="55">
        <v>2598</v>
      </c>
      <c r="N43" s="53">
        <v>1.6199999999999999E-2</v>
      </c>
      <c r="T43" s="54">
        <v>492.5</v>
      </c>
      <c r="U43" s="52">
        <v>849</v>
      </c>
      <c r="V43" s="53">
        <v>5.3E-3</v>
      </c>
      <c r="X43" s="54">
        <v>475.14</v>
      </c>
      <c r="Y43" s="55">
        <v>2598</v>
      </c>
      <c r="Z43" s="53">
        <v>1.6199999999999999E-2</v>
      </c>
      <c r="AB43" s="187">
        <v>467.2</v>
      </c>
      <c r="AC43" s="55"/>
      <c r="AD43" s="176">
        <v>0.2</v>
      </c>
      <c r="AI43" s="187">
        <v>462.7</v>
      </c>
      <c r="AJ43" s="187">
        <v>289.7</v>
      </c>
      <c r="AK43" s="187">
        <v>423.7</v>
      </c>
      <c r="AL43" s="187">
        <v>572.29999999999995</v>
      </c>
      <c r="AM43" s="187">
        <v>672.9</v>
      </c>
      <c r="AN43" s="187">
        <v>401.6</v>
      </c>
      <c r="AO43" s="187">
        <v>837.3</v>
      </c>
      <c r="AP43" s="187">
        <v>572.29999999999995</v>
      </c>
      <c r="AQ43" s="187">
        <v>461.7</v>
      </c>
      <c r="AR43" s="187">
        <v>588.1</v>
      </c>
      <c r="AS43" s="187">
        <v>408</v>
      </c>
      <c r="AT43" s="187">
        <v>503.2</v>
      </c>
      <c r="AU43" s="187">
        <v>438.1</v>
      </c>
      <c r="AV43" s="187">
        <v>509.5</v>
      </c>
      <c r="AW43" s="196">
        <v>840.8</v>
      </c>
      <c r="AX43" s="174">
        <v>0.22500000000000001</v>
      </c>
      <c r="AY43" s="187">
        <v>848</v>
      </c>
      <c r="AZ43" s="174">
        <v>0.22500000000000001</v>
      </c>
      <c r="BB43" s="187">
        <v>291.3</v>
      </c>
      <c r="BC43" s="176">
        <v>0.2</v>
      </c>
    </row>
    <row r="44" spans="1:55" ht="17.25" thickBot="1">
      <c r="A44" s="187">
        <v>464.9</v>
      </c>
      <c r="B44" s="187">
        <v>291.2</v>
      </c>
      <c r="C44" s="187">
        <v>425.8</v>
      </c>
      <c r="D44" s="54"/>
      <c r="E44" s="187">
        <v>464.1</v>
      </c>
      <c r="F44" s="54"/>
      <c r="G44" s="187">
        <v>410</v>
      </c>
      <c r="H44" s="196">
        <v>591.64</v>
      </c>
      <c r="I44" s="194">
        <v>21.5</v>
      </c>
      <c r="J44" s="174">
        <f t="shared" si="1"/>
        <v>0.215</v>
      </c>
      <c r="L44" s="54">
        <v>264.41000000000003</v>
      </c>
      <c r="M44" s="55">
        <v>2500</v>
      </c>
      <c r="N44" s="53">
        <v>1.5599999999999999E-2</v>
      </c>
      <c r="T44" s="56">
        <v>493</v>
      </c>
      <c r="U44" s="61">
        <v>800</v>
      </c>
      <c r="V44" s="62">
        <v>5.0000000000000001E-3</v>
      </c>
      <c r="X44" s="54">
        <v>475.47</v>
      </c>
      <c r="Y44" s="55">
        <v>2500</v>
      </c>
      <c r="Z44" s="53">
        <v>1.5599999999999999E-2</v>
      </c>
      <c r="AB44" s="187">
        <v>468.3</v>
      </c>
      <c r="AC44" s="165"/>
      <c r="AD44" s="176">
        <v>0.19500000000000001</v>
      </c>
      <c r="AI44" s="187">
        <v>463.9</v>
      </c>
      <c r="AJ44" s="187">
        <v>290.5</v>
      </c>
      <c r="AK44" s="187">
        <v>424.7</v>
      </c>
      <c r="AL44" s="187">
        <v>574.1</v>
      </c>
      <c r="AM44" s="187">
        <v>674.7</v>
      </c>
      <c r="AN44" s="187">
        <v>402.8</v>
      </c>
      <c r="AO44" s="187">
        <v>839.5</v>
      </c>
      <c r="AP44" s="187">
        <v>574.1</v>
      </c>
      <c r="AQ44" s="187">
        <v>462.9</v>
      </c>
      <c r="AR44" s="187">
        <v>589.4</v>
      </c>
      <c r="AS44" s="187">
        <v>409</v>
      </c>
      <c r="AT44" s="187">
        <v>504.7</v>
      </c>
      <c r="AU44" s="187">
        <v>439.1</v>
      </c>
      <c r="AV44" s="187">
        <v>510.6</v>
      </c>
      <c r="AW44" s="196">
        <v>843.2</v>
      </c>
      <c r="AX44" s="174">
        <v>0.22</v>
      </c>
      <c r="AY44" s="187">
        <v>850</v>
      </c>
      <c r="AZ44" s="174">
        <v>0.22</v>
      </c>
      <c r="BB44" s="187">
        <v>292</v>
      </c>
      <c r="BC44" s="176">
        <v>0.19500000000000001</v>
      </c>
    </row>
    <row r="45" spans="1:55" ht="17.25" thickBot="1">
      <c r="A45" s="187">
        <v>466</v>
      </c>
      <c r="B45" s="187">
        <v>292</v>
      </c>
      <c r="C45" s="187">
        <v>427</v>
      </c>
      <c r="D45" s="54"/>
      <c r="E45" s="187">
        <v>465.2</v>
      </c>
      <c r="F45" s="54"/>
      <c r="G45" s="187">
        <v>411.1</v>
      </c>
      <c r="H45" s="196">
        <v>593.25</v>
      </c>
      <c r="I45" s="194">
        <v>21</v>
      </c>
      <c r="J45" s="174">
        <f t="shared" si="1"/>
        <v>0.21</v>
      </c>
      <c r="L45" s="54">
        <v>264.63</v>
      </c>
      <c r="M45" s="55">
        <v>2450</v>
      </c>
      <c r="N45" s="53">
        <v>1.5299999999999999E-2</v>
      </c>
      <c r="T45" s="54">
        <v>493.5</v>
      </c>
      <c r="U45" s="52">
        <v>700</v>
      </c>
      <c r="V45" s="53">
        <v>4.4000000000000003E-3</v>
      </c>
      <c r="X45" s="54">
        <v>475.74</v>
      </c>
      <c r="Y45" s="55">
        <v>2450</v>
      </c>
      <c r="Z45" s="53">
        <v>1.5299999999999999E-2</v>
      </c>
      <c r="AB45" s="187">
        <v>469.1</v>
      </c>
      <c r="AC45" s="55"/>
      <c r="AD45" s="176">
        <v>0.19</v>
      </c>
      <c r="AI45" s="187">
        <v>464.9</v>
      </c>
      <c r="AJ45" s="187">
        <v>291.2</v>
      </c>
      <c r="AK45" s="187">
        <v>425.8</v>
      </c>
      <c r="AL45" s="187">
        <v>575.4</v>
      </c>
      <c r="AM45" s="187">
        <v>676.2</v>
      </c>
      <c r="AN45" s="187">
        <v>403.8</v>
      </c>
      <c r="AO45" s="187">
        <v>841.4</v>
      </c>
      <c r="AP45" s="187">
        <v>575.4</v>
      </c>
      <c r="AQ45" s="187">
        <v>464.1</v>
      </c>
      <c r="AR45" s="187">
        <v>591.1</v>
      </c>
      <c r="AS45" s="187">
        <v>410</v>
      </c>
      <c r="AT45" s="187">
        <v>506.1</v>
      </c>
      <c r="AU45" s="187">
        <v>440</v>
      </c>
      <c r="AV45" s="187">
        <v>511.7</v>
      </c>
      <c r="AW45" s="196">
        <v>845.2</v>
      </c>
      <c r="AX45" s="174">
        <v>0.215</v>
      </c>
      <c r="AY45" s="187">
        <v>852</v>
      </c>
      <c r="AZ45" s="174">
        <v>0.215</v>
      </c>
      <c r="BB45" s="187">
        <v>292.60000000000002</v>
      </c>
      <c r="BC45" s="176">
        <v>0.19</v>
      </c>
    </row>
    <row r="46" spans="1:55" ht="17.25" thickBot="1">
      <c r="A46" s="187">
        <v>467.2</v>
      </c>
      <c r="B46" s="187">
        <v>292.5</v>
      </c>
      <c r="C46" s="187">
        <v>427.7</v>
      </c>
      <c r="D46" s="56"/>
      <c r="E46" s="187">
        <v>466.5</v>
      </c>
      <c r="F46" s="54"/>
      <c r="G46" s="187">
        <v>411.8</v>
      </c>
      <c r="H46" s="196">
        <v>594.92999999999995</v>
      </c>
      <c r="I46" s="194">
        <v>20.5</v>
      </c>
      <c r="J46" s="174">
        <f t="shared" si="1"/>
        <v>0.20499999999999999</v>
      </c>
      <c r="L46" s="54">
        <v>264.68</v>
      </c>
      <c r="M46" s="55">
        <v>2348</v>
      </c>
      <c r="N46" s="53">
        <v>1.47E-2</v>
      </c>
      <c r="T46" s="54">
        <v>494</v>
      </c>
      <c r="U46" s="52">
        <v>650</v>
      </c>
      <c r="V46" s="53">
        <v>4.1000000000000003E-3</v>
      </c>
      <c r="X46" s="56">
        <v>475.98</v>
      </c>
      <c r="Y46" s="58">
        <v>2400</v>
      </c>
      <c r="Z46" s="62">
        <v>1.4999999999999999E-2</v>
      </c>
      <c r="AB46" s="187">
        <v>470.2</v>
      </c>
      <c r="AC46" s="55"/>
      <c r="AD46" s="176">
        <v>0.185</v>
      </c>
      <c r="AI46" s="187">
        <v>466</v>
      </c>
      <c r="AJ46" s="187">
        <v>292</v>
      </c>
      <c r="AK46" s="187">
        <v>427</v>
      </c>
      <c r="AL46" s="187">
        <v>576.79999999999995</v>
      </c>
      <c r="AM46" s="187">
        <v>678</v>
      </c>
      <c r="AN46" s="187">
        <v>405</v>
      </c>
      <c r="AO46" s="187">
        <v>843.6</v>
      </c>
      <c r="AP46" s="187">
        <v>576.79999999999995</v>
      </c>
      <c r="AQ46" s="187">
        <v>465.2</v>
      </c>
      <c r="AR46" s="187">
        <v>592.9</v>
      </c>
      <c r="AS46" s="187">
        <v>411.1</v>
      </c>
      <c r="AT46" s="187">
        <v>507.3</v>
      </c>
      <c r="AU46" s="187">
        <v>441</v>
      </c>
      <c r="AV46" s="187">
        <v>512.79999999999995</v>
      </c>
      <c r="AW46" s="196">
        <v>847.5</v>
      </c>
      <c r="AX46" s="174">
        <v>0.21</v>
      </c>
      <c r="AY46" s="187">
        <v>854.2</v>
      </c>
      <c r="AZ46" s="174">
        <v>0.21</v>
      </c>
      <c r="BB46" s="187">
        <v>293.2</v>
      </c>
      <c r="BC46" s="176">
        <v>0.185</v>
      </c>
    </row>
    <row r="47" spans="1:55" ht="17.25" thickBot="1">
      <c r="A47" s="187">
        <v>468.2</v>
      </c>
      <c r="B47" s="187">
        <v>293.10000000000002</v>
      </c>
      <c r="C47" s="187">
        <v>428.6</v>
      </c>
      <c r="D47" s="54"/>
      <c r="E47" s="187">
        <v>467.7</v>
      </c>
      <c r="F47" s="54"/>
      <c r="G47" s="187">
        <v>412.6</v>
      </c>
      <c r="H47" s="196">
        <v>596.32999999999993</v>
      </c>
      <c r="I47" s="194">
        <v>20</v>
      </c>
      <c r="J47" s="174">
        <f t="shared" si="1"/>
        <v>0.2</v>
      </c>
      <c r="L47" s="54">
        <v>264.81</v>
      </c>
      <c r="M47" s="55">
        <v>2299</v>
      </c>
      <c r="N47" s="53">
        <v>1.44E-2</v>
      </c>
      <c r="T47" s="54">
        <v>494.5</v>
      </c>
      <c r="U47" s="52">
        <v>600</v>
      </c>
      <c r="V47" s="53">
        <v>3.7000000000000002E-3</v>
      </c>
      <c r="X47" s="54">
        <v>476.07</v>
      </c>
      <c r="Y47" s="55">
        <v>2348</v>
      </c>
      <c r="Z47" s="53">
        <v>1.47E-2</v>
      </c>
      <c r="AB47" s="187">
        <v>471</v>
      </c>
      <c r="AC47" s="55"/>
      <c r="AD47" s="176">
        <v>0.18</v>
      </c>
      <c r="AI47" s="187">
        <v>467.2</v>
      </c>
      <c r="AJ47" s="187">
        <v>292.5</v>
      </c>
      <c r="AK47" s="187">
        <v>427.7</v>
      </c>
      <c r="AL47" s="187">
        <v>578.1</v>
      </c>
      <c r="AM47" s="187">
        <v>679.5</v>
      </c>
      <c r="AN47" s="187">
        <v>405.9</v>
      </c>
      <c r="AO47" s="187">
        <v>845.4</v>
      </c>
      <c r="AP47" s="187">
        <v>578.1</v>
      </c>
      <c r="AQ47" s="187">
        <v>466.5</v>
      </c>
      <c r="AR47" s="187">
        <v>594.1</v>
      </c>
      <c r="AS47" s="187">
        <v>411.8</v>
      </c>
      <c r="AT47" s="187">
        <v>508.4</v>
      </c>
      <c r="AU47" s="187">
        <v>441.6</v>
      </c>
      <c r="AV47" s="187">
        <v>513.9</v>
      </c>
      <c r="AW47" s="196">
        <v>849.9</v>
      </c>
      <c r="AX47" s="174">
        <v>0.20499999999999999</v>
      </c>
      <c r="AY47" s="187">
        <v>855.8</v>
      </c>
      <c r="AZ47" s="174">
        <v>0.20499999999999999</v>
      </c>
      <c r="BB47" s="187">
        <v>293.8</v>
      </c>
      <c r="BC47" s="176">
        <v>0.18</v>
      </c>
    </row>
    <row r="48" spans="1:55" ht="17.25" thickBot="1">
      <c r="A48" s="187">
        <v>469</v>
      </c>
      <c r="B48" s="187">
        <v>293.60000000000002</v>
      </c>
      <c r="C48" s="187">
        <v>429.3</v>
      </c>
      <c r="D48" s="54"/>
      <c r="E48" s="187">
        <v>468.6</v>
      </c>
      <c r="F48" s="54"/>
      <c r="G48" s="187">
        <v>413.4</v>
      </c>
      <c r="H48" s="196">
        <v>597.38</v>
      </c>
      <c r="I48" s="194">
        <v>19.5</v>
      </c>
      <c r="J48" s="174">
        <f t="shared" si="1"/>
        <v>0.19500000000000001</v>
      </c>
      <c r="L48" s="54">
        <v>264.95999999999998</v>
      </c>
      <c r="M48" s="55">
        <v>2248</v>
      </c>
      <c r="N48" s="53">
        <v>1.4E-2</v>
      </c>
      <c r="T48" s="54">
        <v>495</v>
      </c>
      <c r="U48" s="52">
        <v>550</v>
      </c>
      <c r="V48" s="53">
        <v>3.3999999999999998E-3</v>
      </c>
      <c r="X48" s="54">
        <v>476.29</v>
      </c>
      <c r="Y48" s="55">
        <v>2299</v>
      </c>
      <c r="Z48" s="53">
        <v>1.44E-2</v>
      </c>
      <c r="AB48" s="187">
        <v>472.2</v>
      </c>
      <c r="AC48" s="55"/>
      <c r="AD48" s="176">
        <v>0.17699999999999999</v>
      </c>
      <c r="AI48" s="187">
        <v>468.2</v>
      </c>
      <c r="AJ48" s="187">
        <v>293.10000000000002</v>
      </c>
      <c r="AK48" s="187">
        <v>428.6</v>
      </c>
      <c r="AL48" s="187">
        <v>579.6</v>
      </c>
      <c r="AM48" s="187">
        <v>681.1</v>
      </c>
      <c r="AN48" s="187">
        <v>406.8</v>
      </c>
      <c r="AO48" s="187">
        <v>848</v>
      </c>
      <c r="AP48" s="187">
        <v>579.6</v>
      </c>
      <c r="AQ48" s="187">
        <v>467.7</v>
      </c>
      <c r="AR48" s="187">
        <v>595.6</v>
      </c>
      <c r="AS48" s="187">
        <v>412.6</v>
      </c>
      <c r="AT48" s="187">
        <v>509.4</v>
      </c>
      <c r="AU48" s="187">
        <v>442.6</v>
      </c>
      <c r="AV48" s="187">
        <v>515</v>
      </c>
      <c r="AW48" s="196">
        <v>851.9</v>
      </c>
      <c r="AX48" s="174">
        <v>0.2</v>
      </c>
      <c r="AY48" s="187">
        <v>857.6</v>
      </c>
      <c r="AZ48" s="174">
        <v>0.2</v>
      </c>
      <c r="BB48" s="187">
        <v>294.5</v>
      </c>
      <c r="BC48" s="176">
        <v>0.17699999999999999</v>
      </c>
    </row>
    <row r="49" spans="1:55" ht="17.25" thickBot="1">
      <c r="A49" s="187">
        <v>469.7</v>
      </c>
      <c r="B49" s="187">
        <v>294.10000000000002</v>
      </c>
      <c r="C49" s="187">
        <v>430</v>
      </c>
      <c r="D49" s="54"/>
      <c r="E49" s="187">
        <v>469.4</v>
      </c>
      <c r="F49" s="54"/>
      <c r="G49" s="187">
        <v>414</v>
      </c>
      <c r="H49" s="196">
        <v>598.42999999999995</v>
      </c>
      <c r="I49" s="194">
        <v>19</v>
      </c>
      <c r="J49" s="174">
        <f t="shared" si="1"/>
        <v>0.19</v>
      </c>
      <c r="L49" s="54">
        <v>264.97000000000003</v>
      </c>
      <c r="M49" s="55">
        <v>2199</v>
      </c>
      <c r="N49" s="53">
        <v>1.37E-2</v>
      </c>
      <c r="T49" s="56">
        <v>495.5</v>
      </c>
      <c r="U49" s="61">
        <v>499</v>
      </c>
      <c r="V49" s="62">
        <v>3.0999999999999999E-3</v>
      </c>
      <c r="X49" s="54">
        <v>476.47</v>
      </c>
      <c r="Y49" s="55">
        <v>2248</v>
      </c>
      <c r="Z49" s="53">
        <v>1.4E-2</v>
      </c>
      <c r="AB49" s="187">
        <v>473</v>
      </c>
      <c r="AC49" s="55"/>
      <c r="AD49" s="176">
        <v>0.17300000000000001</v>
      </c>
      <c r="AI49" s="187">
        <v>469</v>
      </c>
      <c r="AJ49" s="187">
        <v>293.60000000000002</v>
      </c>
      <c r="AK49" s="187">
        <v>429.3</v>
      </c>
      <c r="AL49" s="187">
        <v>581.4</v>
      </c>
      <c r="AM49" s="187">
        <v>682.8</v>
      </c>
      <c r="AN49" s="187">
        <v>407.9</v>
      </c>
      <c r="AO49" s="187">
        <v>850.5</v>
      </c>
      <c r="AP49" s="187">
        <v>581.4</v>
      </c>
      <c r="AQ49" s="187">
        <v>468.6</v>
      </c>
      <c r="AR49" s="187">
        <v>597</v>
      </c>
      <c r="AS49" s="187">
        <v>413.4</v>
      </c>
      <c r="AT49" s="187">
        <v>511</v>
      </c>
      <c r="AU49" s="187">
        <v>443.5</v>
      </c>
      <c r="AV49" s="187">
        <v>516.29999999999995</v>
      </c>
      <c r="AW49" s="196">
        <v>853.4</v>
      </c>
      <c r="AX49" s="174">
        <v>0.19500000000000001</v>
      </c>
      <c r="AY49" s="187">
        <v>858.9</v>
      </c>
      <c r="AZ49" s="174">
        <v>0.19500000000000001</v>
      </c>
      <c r="BB49" s="187">
        <v>295.2</v>
      </c>
      <c r="BC49" s="176">
        <v>0.17300000000000001</v>
      </c>
    </row>
    <row r="50" spans="1:55" ht="17.25" thickBot="1">
      <c r="A50" s="187">
        <v>470.9</v>
      </c>
      <c r="B50" s="187">
        <v>294.8</v>
      </c>
      <c r="C50" s="187">
        <v>431.1</v>
      </c>
      <c r="D50" s="54"/>
      <c r="E50" s="187">
        <v>470.4</v>
      </c>
      <c r="F50" s="54"/>
      <c r="G50" s="187">
        <v>415</v>
      </c>
      <c r="H50" s="196">
        <v>599.54999999999995</v>
      </c>
      <c r="I50" s="194">
        <v>18.5</v>
      </c>
      <c r="J50" s="174">
        <f t="shared" si="1"/>
        <v>0.185</v>
      </c>
      <c r="L50" s="54">
        <v>265</v>
      </c>
      <c r="M50" s="55">
        <v>2150</v>
      </c>
      <c r="N50" s="53">
        <v>1.34E-2</v>
      </c>
      <c r="T50" s="54">
        <v>496</v>
      </c>
      <c r="U50" s="52">
        <v>449</v>
      </c>
      <c r="V50" s="53">
        <v>2.8E-3</v>
      </c>
      <c r="X50" s="54">
        <v>476.6</v>
      </c>
      <c r="Y50" s="55">
        <v>2199</v>
      </c>
      <c r="Z50" s="53">
        <v>1.37E-2</v>
      </c>
      <c r="AB50" s="187">
        <v>474.1</v>
      </c>
      <c r="AC50" s="55"/>
      <c r="AD50" s="176">
        <v>0.17</v>
      </c>
      <c r="AI50" s="187">
        <v>469.7</v>
      </c>
      <c r="AJ50" s="187">
        <v>294.10000000000002</v>
      </c>
      <c r="AK50" s="187">
        <v>430</v>
      </c>
      <c r="AL50" s="187">
        <v>582.70000000000005</v>
      </c>
      <c r="AM50" s="187">
        <v>684.3</v>
      </c>
      <c r="AN50" s="187">
        <v>408.8</v>
      </c>
      <c r="AO50" s="187">
        <v>852.4</v>
      </c>
      <c r="AP50" s="187">
        <v>582.70000000000005</v>
      </c>
      <c r="AQ50" s="187">
        <v>469.4</v>
      </c>
      <c r="AR50" s="187">
        <v>598.29999999999995</v>
      </c>
      <c r="AS50" s="187">
        <v>414</v>
      </c>
      <c r="AT50" s="187">
        <v>511.8</v>
      </c>
      <c r="AU50" s="187">
        <v>444.3</v>
      </c>
      <c r="AV50" s="187">
        <v>517.29999999999995</v>
      </c>
      <c r="AW50" s="196">
        <v>854.9</v>
      </c>
      <c r="AX50" s="174">
        <v>0.19</v>
      </c>
      <c r="AY50" s="187">
        <v>860.4</v>
      </c>
      <c r="AZ50" s="174">
        <v>0.19</v>
      </c>
      <c r="BB50" s="187">
        <v>295.89999999999998</v>
      </c>
      <c r="BC50" s="176">
        <v>0.17</v>
      </c>
    </row>
    <row r="51" spans="1:55" ht="17.25" thickBot="1">
      <c r="A51" s="187">
        <v>472</v>
      </c>
      <c r="B51" s="187">
        <v>295.39999999999998</v>
      </c>
      <c r="C51" s="187">
        <v>432</v>
      </c>
      <c r="D51" s="54"/>
      <c r="E51" s="187">
        <v>471.5</v>
      </c>
      <c r="F51" s="54"/>
      <c r="G51" s="187">
        <v>415.9</v>
      </c>
      <c r="H51" s="196">
        <v>600.88</v>
      </c>
      <c r="I51" s="194">
        <v>18</v>
      </c>
      <c r="J51" s="174">
        <f t="shared" si="1"/>
        <v>0.18</v>
      </c>
      <c r="L51" s="54">
        <v>265.14999999999998</v>
      </c>
      <c r="M51" s="55">
        <v>2099</v>
      </c>
      <c r="N51" s="53">
        <v>1.3100000000000001E-2</v>
      </c>
      <c r="T51" s="54">
        <v>496.5</v>
      </c>
      <c r="U51" s="52">
        <v>400</v>
      </c>
      <c r="V51" s="53">
        <v>2.5000000000000001E-3</v>
      </c>
      <c r="X51" s="54">
        <v>476.92</v>
      </c>
      <c r="Y51" s="55">
        <v>2150</v>
      </c>
      <c r="Z51" s="53">
        <v>1.34E-2</v>
      </c>
      <c r="AB51" s="187">
        <v>475.5</v>
      </c>
      <c r="AC51" s="55"/>
      <c r="AD51" s="176">
        <v>0.16699999999999998</v>
      </c>
      <c r="AI51" s="187">
        <v>470.9</v>
      </c>
      <c r="AJ51" s="187">
        <v>294.8</v>
      </c>
      <c r="AK51" s="187">
        <v>431.1</v>
      </c>
      <c r="AL51" s="187">
        <v>584.29999999999995</v>
      </c>
      <c r="AM51" s="187">
        <v>686</v>
      </c>
      <c r="AN51" s="187">
        <v>409.8</v>
      </c>
      <c r="AO51" s="187">
        <v>854.5</v>
      </c>
      <c r="AP51" s="187">
        <v>584.29999999999995</v>
      </c>
      <c r="AQ51" s="187">
        <v>470.4</v>
      </c>
      <c r="AR51" s="187">
        <v>599.79999999999995</v>
      </c>
      <c r="AS51" s="187">
        <v>415</v>
      </c>
      <c r="AT51" s="187">
        <v>513.1</v>
      </c>
      <c r="AU51" s="187">
        <v>445.2</v>
      </c>
      <c r="AV51" s="187">
        <v>518.29999999999995</v>
      </c>
      <c r="AW51" s="196">
        <v>856.5</v>
      </c>
      <c r="AX51" s="174">
        <v>0.185</v>
      </c>
      <c r="AY51" s="187">
        <v>862.5</v>
      </c>
      <c r="AZ51" s="174">
        <v>0.185</v>
      </c>
      <c r="BB51" s="187">
        <v>296.60000000000002</v>
      </c>
      <c r="BC51" s="176">
        <v>0.16699999999999998</v>
      </c>
    </row>
    <row r="52" spans="1:55" ht="17.25" thickBot="1">
      <c r="A52" s="187">
        <v>473.1</v>
      </c>
      <c r="B52" s="187">
        <v>296.2</v>
      </c>
      <c r="C52" s="187">
        <v>433.1</v>
      </c>
      <c r="D52" s="54"/>
      <c r="E52" s="187">
        <v>472.6</v>
      </c>
      <c r="F52" s="54"/>
      <c r="G52" s="187">
        <v>417</v>
      </c>
      <c r="H52" s="196">
        <v>602.20999999999992</v>
      </c>
      <c r="I52" s="194">
        <v>17.5</v>
      </c>
      <c r="J52" s="174">
        <f t="shared" si="1"/>
        <v>0.17499999999999999</v>
      </c>
      <c r="L52" s="54">
        <v>265.31</v>
      </c>
      <c r="M52" s="55">
        <v>2049</v>
      </c>
      <c r="N52" s="53">
        <v>1.2800000000000001E-2</v>
      </c>
      <c r="T52" s="54">
        <v>497</v>
      </c>
      <c r="U52" s="52">
        <v>349</v>
      </c>
      <c r="V52" s="53">
        <v>2.2000000000000001E-3</v>
      </c>
      <c r="X52" s="54">
        <v>477.19</v>
      </c>
      <c r="Y52" s="55">
        <v>2099</v>
      </c>
      <c r="Z52" s="53">
        <v>1.3100000000000001E-2</v>
      </c>
      <c r="AB52" s="187">
        <v>476.6</v>
      </c>
      <c r="AC52" s="55"/>
      <c r="AD52" s="176">
        <v>0.16300000000000001</v>
      </c>
      <c r="AI52" s="187">
        <v>472</v>
      </c>
      <c r="AJ52" s="187">
        <v>295.39999999999998</v>
      </c>
      <c r="AK52" s="187">
        <v>432</v>
      </c>
      <c r="AL52" s="187">
        <v>585.4</v>
      </c>
      <c r="AM52" s="187">
        <v>687.8</v>
      </c>
      <c r="AN52" s="187">
        <v>410.7</v>
      </c>
      <c r="AO52" s="187">
        <v>856.6</v>
      </c>
      <c r="AP52" s="187">
        <v>585.4</v>
      </c>
      <c r="AQ52" s="187">
        <v>471.5</v>
      </c>
      <c r="AR52" s="187">
        <v>600.9</v>
      </c>
      <c r="AS52" s="187">
        <v>415.9</v>
      </c>
      <c r="AT52" s="187">
        <v>514.29999999999995</v>
      </c>
      <c r="AU52" s="187">
        <v>446</v>
      </c>
      <c r="AV52" s="187">
        <v>519.29999999999995</v>
      </c>
      <c r="AW52" s="196">
        <v>858.4</v>
      </c>
      <c r="AX52" s="174">
        <v>0.18</v>
      </c>
      <c r="AY52" s="187">
        <v>864.5</v>
      </c>
      <c r="AZ52" s="174">
        <v>0.18</v>
      </c>
      <c r="BB52" s="187">
        <v>297.3</v>
      </c>
      <c r="BC52" s="176">
        <v>0.16300000000000001</v>
      </c>
    </row>
    <row r="53" spans="1:55" ht="17.25" thickBot="1">
      <c r="A53" s="187">
        <v>474</v>
      </c>
      <c r="B53" s="187">
        <v>296.8</v>
      </c>
      <c r="C53" s="187">
        <v>434.3</v>
      </c>
      <c r="D53" s="54"/>
      <c r="E53" s="187">
        <v>473.5</v>
      </c>
      <c r="F53" s="54"/>
      <c r="G53" s="187">
        <v>418.1</v>
      </c>
      <c r="H53" s="196">
        <v>603.4</v>
      </c>
      <c r="I53" s="194">
        <v>17</v>
      </c>
      <c r="J53" s="174">
        <f t="shared" si="1"/>
        <v>0.17</v>
      </c>
      <c r="L53" s="54">
        <v>265.56</v>
      </c>
      <c r="M53" s="55">
        <v>1998</v>
      </c>
      <c r="N53" s="53">
        <v>1.2500000000000001E-2</v>
      </c>
      <c r="T53" s="56">
        <v>497.5</v>
      </c>
      <c r="U53" s="61">
        <v>299</v>
      </c>
      <c r="V53" s="62">
        <v>1.9E-3</v>
      </c>
      <c r="X53" s="54">
        <v>477.58</v>
      </c>
      <c r="Y53" s="55">
        <v>2049</v>
      </c>
      <c r="Z53" s="53">
        <v>1.2800000000000001E-2</v>
      </c>
      <c r="AB53" s="187">
        <v>477.7</v>
      </c>
      <c r="AC53" s="55"/>
      <c r="AD53" s="176">
        <v>0.16</v>
      </c>
      <c r="AI53" s="187">
        <v>473.1</v>
      </c>
      <c r="AJ53" s="187">
        <v>296.2</v>
      </c>
      <c r="AK53" s="187">
        <v>433.1</v>
      </c>
      <c r="AL53" s="187">
        <v>587.20000000000005</v>
      </c>
      <c r="AM53" s="187">
        <v>689.6</v>
      </c>
      <c r="AN53" s="187">
        <v>411.8</v>
      </c>
      <c r="AO53" s="187">
        <v>859</v>
      </c>
      <c r="AP53" s="187">
        <v>587.20000000000005</v>
      </c>
      <c r="AQ53" s="187">
        <v>472.6</v>
      </c>
      <c r="AR53" s="187">
        <v>602.6</v>
      </c>
      <c r="AS53" s="187">
        <v>417</v>
      </c>
      <c r="AT53" s="187">
        <v>515.6</v>
      </c>
      <c r="AU53" s="187">
        <v>447</v>
      </c>
      <c r="AV53" s="187">
        <v>520.29999999999995</v>
      </c>
      <c r="AW53" s="196">
        <v>860.3</v>
      </c>
      <c r="AX53" s="174">
        <v>0.17499999999999999</v>
      </c>
      <c r="AY53" s="187">
        <v>866.6</v>
      </c>
      <c r="AZ53" s="174">
        <v>0.17499999999999999</v>
      </c>
      <c r="BB53" s="187">
        <v>298</v>
      </c>
      <c r="BC53" s="176">
        <v>0.16</v>
      </c>
    </row>
    <row r="54" spans="1:55" ht="17.25" thickBot="1">
      <c r="A54" s="187">
        <v>474.8</v>
      </c>
      <c r="B54" s="187">
        <v>297.5</v>
      </c>
      <c r="C54" s="187">
        <v>435</v>
      </c>
      <c r="D54" s="54"/>
      <c r="E54" s="187">
        <v>474.4</v>
      </c>
      <c r="F54" s="54"/>
      <c r="G54" s="187">
        <v>418.8</v>
      </c>
      <c r="H54" s="196">
        <v>604.7299999999999</v>
      </c>
      <c r="I54" s="194">
        <v>16.5</v>
      </c>
      <c r="J54" s="174">
        <f t="shared" si="1"/>
        <v>0.16500000000000001</v>
      </c>
      <c r="L54" s="54">
        <v>265.58999999999997</v>
      </c>
      <c r="M54" s="55">
        <v>1948</v>
      </c>
      <c r="N54" s="53">
        <v>1.2200000000000001E-2</v>
      </c>
      <c r="T54" s="54">
        <v>498.5</v>
      </c>
      <c r="U54" s="52">
        <v>249</v>
      </c>
      <c r="V54" s="53">
        <v>1.6000000000000001E-3</v>
      </c>
      <c r="X54" s="54">
        <v>477.82</v>
      </c>
      <c r="Y54" s="55">
        <v>1998</v>
      </c>
      <c r="Z54" s="53">
        <v>1.2500000000000001E-2</v>
      </c>
      <c r="AB54" s="187">
        <v>478.6</v>
      </c>
      <c r="AC54" s="55"/>
      <c r="AD54" s="176">
        <v>0.157</v>
      </c>
      <c r="AI54" s="187">
        <v>474</v>
      </c>
      <c r="AJ54" s="187">
        <v>296.8</v>
      </c>
      <c r="AK54" s="187">
        <v>434.3</v>
      </c>
      <c r="AL54" s="187">
        <v>588.29999999999995</v>
      </c>
      <c r="AM54" s="187">
        <v>691.1</v>
      </c>
      <c r="AN54" s="187">
        <v>412.8</v>
      </c>
      <c r="AO54" s="187">
        <v>861</v>
      </c>
      <c r="AP54" s="187">
        <v>588.29999999999995</v>
      </c>
      <c r="AQ54" s="187">
        <v>473.5</v>
      </c>
      <c r="AR54" s="187">
        <v>604</v>
      </c>
      <c r="AS54" s="187">
        <v>418.1</v>
      </c>
      <c r="AT54" s="187">
        <v>517.1</v>
      </c>
      <c r="AU54" s="187">
        <v>447.8</v>
      </c>
      <c r="AV54" s="187">
        <v>521.4</v>
      </c>
      <c r="AW54" s="196">
        <v>862</v>
      </c>
      <c r="AX54" s="174">
        <v>0.17</v>
      </c>
      <c r="AY54" s="187">
        <v>868.6</v>
      </c>
      <c r="AZ54" s="174">
        <v>0.17</v>
      </c>
      <c r="BB54" s="187">
        <v>298.60000000000002</v>
      </c>
      <c r="BC54" s="176">
        <v>0.157</v>
      </c>
    </row>
    <row r="55" spans="1:55" ht="17.25" thickBot="1">
      <c r="A55" s="187">
        <v>475.8</v>
      </c>
      <c r="B55" s="187">
        <v>298.10000000000002</v>
      </c>
      <c r="C55" s="187">
        <v>435.8</v>
      </c>
      <c r="D55" s="54"/>
      <c r="E55" s="187">
        <v>475.1</v>
      </c>
      <c r="F55" s="54"/>
      <c r="G55" s="187">
        <v>419.6</v>
      </c>
      <c r="H55" s="196">
        <v>605.91999999999996</v>
      </c>
      <c r="I55" s="194">
        <v>16</v>
      </c>
      <c r="J55" s="174">
        <f t="shared" si="1"/>
        <v>0.16</v>
      </c>
      <c r="L55" s="54">
        <v>265.72000000000003</v>
      </c>
      <c r="M55" s="55">
        <v>1899</v>
      </c>
      <c r="N55" s="53">
        <v>1.1900000000000001E-2</v>
      </c>
      <c r="T55" s="54">
        <v>499</v>
      </c>
      <c r="U55" s="52">
        <v>225</v>
      </c>
      <c r="V55" s="53">
        <v>1.4E-3</v>
      </c>
      <c r="X55" s="54">
        <v>477.92</v>
      </c>
      <c r="Y55" s="55">
        <v>1948</v>
      </c>
      <c r="Z55" s="53">
        <v>1.2200000000000001E-2</v>
      </c>
      <c r="AB55" s="187">
        <v>479.4</v>
      </c>
      <c r="AC55" s="55"/>
      <c r="AD55" s="176">
        <v>0.153</v>
      </c>
      <c r="AI55" s="187">
        <v>474.8</v>
      </c>
      <c r="AJ55" s="187">
        <v>297.5</v>
      </c>
      <c r="AK55" s="187">
        <v>435</v>
      </c>
      <c r="AL55" s="187">
        <v>589.79999999999995</v>
      </c>
      <c r="AM55" s="187">
        <v>692.4</v>
      </c>
      <c r="AN55" s="187">
        <v>413.5</v>
      </c>
      <c r="AO55" s="187">
        <v>863.1</v>
      </c>
      <c r="AP55" s="187">
        <v>589.79999999999995</v>
      </c>
      <c r="AQ55" s="187">
        <v>474.4</v>
      </c>
      <c r="AR55" s="187">
        <v>605.4</v>
      </c>
      <c r="AS55" s="187">
        <v>418.8</v>
      </c>
      <c r="AT55" s="187">
        <v>518.1</v>
      </c>
      <c r="AU55" s="187">
        <v>448.6</v>
      </c>
      <c r="AV55" s="187">
        <v>522.5</v>
      </c>
      <c r="AW55" s="196">
        <v>863.9</v>
      </c>
      <c r="AX55" s="174">
        <v>0.16500000000000001</v>
      </c>
      <c r="AY55" s="187">
        <v>870.3</v>
      </c>
      <c r="AZ55" s="174">
        <v>0.16500000000000001</v>
      </c>
      <c r="BB55" s="187">
        <v>299.2</v>
      </c>
      <c r="BC55" s="176">
        <v>0.153</v>
      </c>
    </row>
    <row r="56" spans="1:55" ht="17.25" thickBot="1">
      <c r="A56" s="187">
        <v>476.7</v>
      </c>
      <c r="B56" s="187">
        <v>298.60000000000002</v>
      </c>
      <c r="C56" s="187">
        <v>436.6</v>
      </c>
      <c r="D56" s="54"/>
      <c r="E56" s="187">
        <v>475.9</v>
      </c>
      <c r="F56" s="54"/>
      <c r="G56" s="187">
        <v>420.4</v>
      </c>
      <c r="H56" s="196">
        <v>607.31999999999994</v>
      </c>
      <c r="I56" s="194">
        <v>15.5</v>
      </c>
      <c r="J56" s="174">
        <f t="shared" si="1"/>
        <v>0.155</v>
      </c>
      <c r="L56" s="54">
        <v>265.95</v>
      </c>
      <c r="M56" s="55">
        <v>1849</v>
      </c>
      <c r="N56" s="53">
        <v>1.15E-2</v>
      </c>
      <c r="T56" s="54">
        <v>499.5</v>
      </c>
      <c r="U56" s="52">
        <v>200</v>
      </c>
      <c r="V56" s="53">
        <v>1.2999999999999999E-3</v>
      </c>
      <c r="X56" s="54">
        <v>478.11</v>
      </c>
      <c r="Y56" s="55">
        <v>1899</v>
      </c>
      <c r="Z56" s="53">
        <v>1.1900000000000001E-2</v>
      </c>
      <c r="AB56" s="187">
        <v>480.9</v>
      </c>
      <c r="AC56" s="55"/>
      <c r="AD56" s="176">
        <v>0.15</v>
      </c>
      <c r="AI56" s="187">
        <v>475.8</v>
      </c>
      <c r="AJ56" s="187">
        <v>298.10000000000002</v>
      </c>
      <c r="AK56" s="187">
        <v>435.8</v>
      </c>
      <c r="AL56" s="187">
        <v>590.79999999999995</v>
      </c>
      <c r="AM56" s="187">
        <v>694</v>
      </c>
      <c r="AN56" s="187">
        <v>414.6</v>
      </c>
      <c r="AO56" s="187">
        <v>864.8</v>
      </c>
      <c r="AP56" s="187">
        <v>590.79999999999995</v>
      </c>
      <c r="AQ56" s="187">
        <v>475.1</v>
      </c>
      <c r="AR56" s="187">
        <v>606.70000000000005</v>
      </c>
      <c r="AS56" s="187">
        <v>419.6</v>
      </c>
      <c r="AT56" s="187">
        <v>519.1</v>
      </c>
      <c r="AU56" s="187">
        <v>449.3</v>
      </c>
      <c r="AV56" s="187">
        <v>523.6</v>
      </c>
      <c r="AW56" s="196">
        <v>865.6</v>
      </c>
      <c r="AX56" s="174">
        <v>0.16</v>
      </c>
      <c r="AY56" s="187">
        <v>871.7</v>
      </c>
      <c r="AZ56" s="174">
        <v>0.16</v>
      </c>
      <c r="BB56" s="187">
        <v>299.7</v>
      </c>
      <c r="BC56" s="176">
        <v>0.15</v>
      </c>
    </row>
    <row r="57" spans="1:55" ht="17.25" thickBot="1">
      <c r="A57" s="187">
        <v>477.8</v>
      </c>
      <c r="B57" s="187">
        <v>299.3</v>
      </c>
      <c r="C57" s="187">
        <v>437.6</v>
      </c>
      <c r="D57" s="54"/>
      <c r="E57" s="187">
        <v>477.1</v>
      </c>
      <c r="F57" s="54"/>
      <c r="G57" s="187">
        <v>421.3</v>
      </c>
      <c r="H57" s="196">
        <v>608.8599999999999</v>
      </c>
      <c r="I57" s="194">
        <v>15</v>
      </c>
      <c r="J57" s="174">
        <f t="shared" si="1"/>
        <v>0.15</v>
      </c>
      <c r="L57" s="54">
        <v>266.10000000000002</v>
      </c>
      <c r="M57" s="55">
        <v>1800</v>
      </c>
      <c r="N57" s="53">
        <v>1.12E-2</v>
      </c>
      <c r="T57" s="54">
        <v>500</v>
      </c>
      <c r="U57" s="52">
        <v>175</v>
      </c>
      <c r="V57" s="53">
        <v>1.1000000000000001E-3</v>
      </c>
      <c r="X57" s="54">
        <v>478.32</v>
      </c>
      <c r="Y57" s="55">
        <v>1849</v>
      </c>
      <c r="Z57" s="53">
        <v>1.15E-2</v>
      </c>
      <c r="AB57" s="187">
        <v>481.8</v>
      </c>
      <c r="AC57" s="55"/>
      <c r="AD57" s="176">
        <v>0.14699999999999999</v>
      </c>
      <c r="AI57" s="187">
        <v>476.7</v>
      </c>
      <c r="AJ57" s="187">
        <v>298.60000000000002</v>
      </c>
      <c r="AK57" s="187">
        <v>436.6</v>
      </c>
      <c r="AL57" s="187">
        <v>591.9</v>
      </c>
      <c r="AM57" s="187">
        <v>695.3</v>
      </c>
      <c r="AN57" s="187">
        <v>415.4</v>
      </c>
      <c r="AO57" s="187">
        <v>866.6</v>
      </c>
      <c r="AP57" s="187">
        <v>591.9</v>
      </c>
      <c r="AQ57" s="187">
        <v>475.9</v>
      </c>
      <c r="AR57" s="187">
        <v>608.1</v>
      </c>
      <c r="AS57" s="187">
        <v>420.4</v>
      </c>
      <c r="AT57" s="187">
        <v>519.79999999999995</v>
      </c>
      <c r="AU57" s="187">
        <v>449.9</v>
      </c>
      <c r="AV57" s="187">
        <v>524.70000000000005</v>
      </c>
      <c r="AW57" s="196">
        <v>867.6</v>
      </c>
      <c r="AX57" s="174">
        <v>0.155</v>
      </c>
      <c r="AY57" s="187">
        <v>873.7</v>
      </c>
      <c r="AZ57" s="174">
        <v>0.155</v>
      </c>
      <c r="BB57" s="187">
        <v>300.5</v>
      </c>
      <c r="BC57" s="176">
        <v>0.14699999999999999</v>
      </c>
    </row>
    <row r="58" spans="1:55" ht="17.25" thickBot="1">
      <c r="A58" s="187">
        <v>478.9</v>
      </c>
      <c r="B58" s="187">
        <v>300</v>
      </c>
      <c r="C58" s="187">
        <v>438.6</v>
      </c>
      <c r="D58" s="57"/>
      <c r="E58" s="187">
        <v>478.3</v>
      </c>
      <c r="F58" s="54"/>
      <c r="G58" s="187">
        <v>422.3</v>
      </c>
      <c r="H58" s="196">
        <v>610.4</v>
      </c>
      <c r="I58" s="194">
        <v>14.5</v>
      </c>
      <c r="J58" s="174">
        <f t="shared" si="1"/>
        <v>0.14499999999999999</v>
      </c>
      <c r="L58" s="57">
        <v>266.2</v>
      </c>
      <c r="M58" s="60">
        <v>1749</v>
      </c>
      <c r="N58" s="63">
        <v>1.09E-2</v>
      </c>
      <c r="T58" s="57">
        <v>501</v>
      </c>
      <c r="U58" s="59">
        <v>135</v>
      </c>
      <c r="V58" s="63">
        <v>8.0000000000000004E-4</v>
      </c>
      <c r="X58" s="57">
        <v>478.49</v>
      </c>
      <c r="Y58" s="60">
        <v>1800</v>
      </c>
      <c r="Z58" s="63">
        <v>1.12E-2</v>
      </c>
      <c r="AB58" s="187">
        <v>482.8</v>
      </c>
      <c r="AC58" s="55"/>
      <c r="AD58" s="176">
        <v>0.14300000000000002</v>
      </c>
      <c r="AI58" s="187">
        <v>477.8</v>
      </c>
      <c r="AJ58" s="187">
        <v>299.3</v>
      </c>
      <c r="AK58" s="187">
        <v>437.6</v>
      </c>
      <c r="AL58" s="187">
        <v>593.1</v>
      </c>
      <c r="AM58" s="187">
        <v>696.5</v>
      </c>
      <c r="AN58" s="187">
        <v>416.2</v>
      </c>
      <c r="AO58" s="187">
        <v>867.7</v>
      </c>
      <c r="AP58" s="187">
        <v>593.1</v>
      </c>
      <c r="AQ58" s="187">
        <v>477.1</v>
      </c>
      <c r="AR58" s="187">
        <v>609.29999999999995</v>
      </c>
      <c r="AS58" s="187">
        <v>421.3</v>
      </c>
      <c r="AT58" s="187">
        <v>521</v>
      </c>
      <c r="AU58" s="187">
        <v>450.5</v>
      </c>
      <c r="AV58" s="187">
        <v>525.79999999999995</v>
      </c>
      <c r="AW58" s="196">
        <v>869.8</v>
      </c>
      <c r="AX58" s="174">
        <v>0.15</v>
      </c>
      <c r="AY58" s="187">
        <v>875.5</v>
      </c>
      <c r="AZ58" s="174">
        <v>0.15</v>
      </c>
      <c r="BB58" s="187">
        <v>301.10000000000002</v>
      </c>
      <c r="BC58" s="176">
        <v>0.14300000000000002</v>
      </c>
    </row>
    <row r="59" spans="1:55" ht="17.25" thickBot="1">
      <c r="A59" s="187">
        <v>479.9</v>
      </c>
      <c r="B59" s="187">
        <v>300.5</v>
      </c>
      <c r="C59" s="187">
        <v>439.5</v>
      </c>
      <c r="D59" s="54"/>
      <c r="E59" s="187">
        <v>479.3</v>
      </c>
      <c r="F59" s="54"/>
      <c r="G59" s="187">
        <v>423.1</v>
      </c>
      <c r="H59" s="196">
        <v>611.52</v>
      </c>
      <c r="I59" s="194">
        <v>14</v>
      </c>
      <c r="J59" s="174">
        <f t="shared" si="1"/>
        <v>0.14000000000000001</v>
      </c>
      <c r="L59" s="54">
        <v>266.33999999999997</v>
      </c>
      <c r="M59" s="55">
        <v>1700</v>
      </c>
      <c r="N59" s="53">
        <v>1.06E-2</v>
      </c>
      <c r="T59" s="54">
        <v>501.5</v>
      </c>
      <c r="U59" s="52">
        <v>105</v>
      </c>
      <c r="V59" s="53">
        <v>6.9999999999999999E-4</v>
      </c>
      <c r="X59" s="54">
        <v>478.64</v>
      </c>
      <c r="Y59" s="55">
        <v>1749</v>
      </c>
      <c r="Z59" s="53">
        <v>1.09E-2</v>
      </c>
      <c r="AB59" s="187">
        <v>484</v>
      </c>
      <c r="AC59" s="55"/>
      <c r="AD59" s="176">
        <v>0.14000000000000001</v>
      </c>
      <c r="AI59" s="187">
        <v>478.9</v>
      </c>
      <c r="AJ59" s="187">
        <v>300</v>
      </c>
      <c r="AK59" s="187">
        <v>438.6</v>
      </c>
      <c r="AL59" s="187">
        <v>594.5</v>
      </c>
      <c r="AM59" s="187">
        <v>698</v>
      </c>
      <c r="AN59" s="187">
        <v>417.1</v>
      </c>
      <c r="AO59" s="187">
        <v>869.8</v>
      </c>
      <c r="AP59" s="187">
        <v>594.5</v>
      </c>
      <c r="AQ59" s="187">
        <v>478.3</v>
      </c>
      <c r="AR59" s="187">
        <v>610.79999999999995</v>
      </c>
      <c r="AS59" s="187">
        <v>422.3</v>
      </c>
      <c r="AT59" s="187">
        <v>522.20000000000005</v>
      </c>
      <c r="AU59" s="187">
        <v>451.5</v>
      </c>
      <c r="AV59" s="187">
        <v>526.9</v>
      </c>
      <c r="AW59" s="196">
        <v>872</v>
      </c>
      <c r="AX59" s="174">
        <v>0.14499999999999999</v>
      </c>
      <c r="AY59" s="187">
        <v>877.4</v>
      </c>
      <c r="AZ59" s="174">
        <v>0.14499999999999999</v>
      </c>
      <c r="BB59" s="187">
        <v>301.89999999999998</v>
      </c>
      <c r="BC59" s="176">
        <v>0.14000000000000001</v>
      </c>
    </row>
    <row r="60" spans="1:55" ht="17.25" thickBot="1">
      <c r="A60" s="187">
        <v>480.9</v>
      </c>
      <c r="B60" s="187">
        <v>301.2</v>
      </c>
      <c r="C60" s="187">
        <v>440.4</v>
      </c>
      <c r="D60" s="54"/>
      <c r="E60" s="187">
        <v>480.5</v>
      </c>
      <c r="F60" s="54"/>
      <c r="G60" s="187">
        <v>423.9</v>
      </c>
      <c r="H60" s="196">
        <v>612.70999999999992</v>
      </c>
      <c r="I60" s="194">
        <v>13.5</v>
      </c>
      <c r="J60" s="174">
        <f t="shared" si="1"/>
        <v>0.13500000000000001</v>
      </c>
      <c r="L60" s="54">
        <v>266.44</v>
      </c>
      <c r="M60" s="55">
        <v>1649</v>
      </c>
      <c r="N60" s="53">
        <v>1.03E-2</v>
      </c>
      <c r="T60" s="54">
        <v>502</v>
      </c>
      <c r="U60" s="52">
        <v>75</v>
      </c>
      <c r="V60" s="53">
        <v>5.0000000000000001E-4</v>
      </c>
      <c r="X60" s="54">
        <v>478.84</v>
      </c>
      <c r="Y60" s="55">
        <v>1700</v>
      </c>
      <c r="Z60" s="53">
        <v>1.06E-2</v>
      </c>
      <c r="AB60" s="187">
        <v>485</v>
      </c>
      <c r="AC60" s="60"/>
      <c r="AD60" s="176">
        <v>0.13699999999999998</v>
      </c>
      <c r="AI60" s="187">
        <v>479.9</v>
      </c>
      <c r="AJ60" s="187">
        <v>300.5</v>
      </c>
      <c r="AK60" s="187">
        <v>439.5</v>
      </c>
      <c r="AL60" s="187">
        <v>595.5</v>
      </c>
      <c r="AM60" s="187">
        <v>699.4</v>
      </c>
      <c r="AN60" s="187">
        <v>418</v>
      </c>
      <c r="AO60" s="187">
        <v>872</v>
      </c>
      <c r="AP60" s="187">
        <v>595.5</v>
      </c>
      <c r="AQ60" s="187">
        <v>479.3</v>
      </c>
      <c r="AR60" s="187">
        <v>611.79999999999995</v>
      </c>
      <c r="AS60" s="187">
        <v>423.1</v>
      </c>
      <c r="AT60" s="187">
        <v>523.4</v>
      </c>
      <c r="AU60" s="187">
        <v>452.2</v>
      </c>
      <c r="AV60" s="187">
        <v>528</v>
      </c>
      <c r="AW60" s="196">
        <v>873.6</v>
      </c>
      <c r="AX60" s="174">
        <v>0.14000000000000001</v>
      </c>
      <c r="AY60" s="187">
        <v>879.3</v>
      </c>
      <c r="AZ60" s="174">
        <v>0.14000000000000001</v>
      </c>
      <c r="BB60" s="187">
        <v>302.5</v>
      </c>
      <c r="BC60" s="176">
        <v>0.13699999999999998</v>
      </c>
    </row>
    <row r="61" spans="1:55" ht="17.25" thickBot="1">
      <c r="A61" s="187">
        <v>482</v>
      </c>
      <c r="B61" s="187">
        <v>301.8</v>
      </c>
      <c r="C61" s="187">
        <v>441.3</v>
      </c>
      <c r="D61" s="54"/>
      <c r="E61" s="187">
        <v>481.4</v>
      </c>
      <c r="F61" s="54"/>
      <c r="G61" s="187">
        <v>424.8</v>
      </c>
      <c r="H61" s="196">
        <v>614.31999999999994</v>
      </c>
      <c r="I61" s="194">
        <v>13</v>
      </c>
      <c r="J61" s="174">
        <f t="shared" si="1"/>
        <v>0.13</v>
      </c>
      <c r="L61" s="56">
        <v>266.55</v>
      </c>
      <c r="M61" s="58">
        <v>1599</v>
      </c>
      <c r="N61" s="62">
        <v>0.01</v>
      </c>
      <c r="T61" s="54">
        <v>503</v>
      </c>
      <c r="U61" s="52">
        <v>45</v>
      </c>
      <c r="V61" s="53">
        <v>2.9999999999999997E-4</v>
      </c>
      <c r="X61" s="54">
        <v>479.27</v>
      </c>
      <c r="Y61" s="55">
        <v>1649</v>
      </c>
      <c r="Z61" s="53">
        <v>1.03E-2</v>
      </c>
      <c r="AB61" s="187">
        <v>486.2</v>
      </c>
      <c r="AC61" s="58"/>
      <c r="AD61" s="176">
        <v>0.13300000000000001</v>
      </c>
      <c r="AI61" s="187">
        <v>480.9</v>
      </c>
      <c r="AJ61" s="187">
        <v>301.2</v>
      </c>
      <c r="AK61" s="187">
        <v>440.4</v>
      </c>
      <c r="AL61" s="187">
        <v>596.6</v>
      </c>
      <c r="AM61" s="187">
        <v>700.8</v>
      </c>
      <c r="AN61" s="187">
        <v>418.7</v>
      </c>
      <c r="AO61" s="187">
        <v>874</v>
      </c>
      <c r="AP61" s="187">
        <v>596.6</v>
      </c>
      <c r="AQ61" s="187">
        <v>480.5</v>
      </c>
      <c r="AR61" s="187">
        <v>612.9</v>
      </c>
      <c r="AS61" s="187">
        <v>423.9</v>
      </c>
      <c r="AT61" s="187">
        <v>524.6</v>
      </c>
      <c r="AU61" s="187">
        <v>453</v>
      </c>
      <c r="AV61" s="187">
        <v>529</v>
      </c>
      <c r="AW61" s="196">
        <v>875.3</v>
      </c>
      <c r="AX61" s="174">
        <v>0.13500000000000001</v>
      </c>
      <c r="AY61" s="187">
        <v>881.1</v>
      </c>
      <c r="AZ61" s="174">
        <v>0.13500000000000001</v>
      </c>
      <c r="BB61" s="187">
        <v>303.2</v>
      </c>
      <c r="BC61" s="176">
        <v>0.13300000000000001</v>
      </c>
    </row>
    <row r="62" spans="1:55" ht="17.25" thickBot="1">
      <c r="A62" s="187">
        <v>483.1</v>
      </c>
      <c r="B62" s="187">
        <v>302.3</v>
      </c>
      <c r="C62" s="187">
        <v>442</v>
      </c>
      <c r="D62" s="56"/>
      <c r="E62" s="187">
        <v>482.5</v>
      </c>
      <c r="F62" s="54"/>
      <c r="G62" s="187">
        <v>425.5</v>
      </c>
      <c r="H62" s="196">
        <v>615.79</v>
      </c>
      <c r="I62" s="194">
        <v>12.5</v>
      </c>
      <c r="J62" s="174">
        <f t="shared" si="1"/>
        <v>0.125</v>
      </c>
      <c r="L62" s="54">
        <v>266.8</v>
      </c>
      <c r="M62" s="55">
        <v>1549</v>
      </c>
      <c r="N62" s="53">
        <v>9.7000000000000003E-3</v>
      </c>
      <c r="T62" s="54">
        <v>504</v>
      </c>
      <c r="U62" s="52">
        <v>15</v>
      </c>
      <c r="V62" s="53">
        <v>1E-4</v>
      </c>
      <c r="X62" s="56">
        <v>479.51</v>
      </c>
      <c r="Y62" s="58">
        <v>1599</v>
      </c>
      <c r="Z62" s="62">
        <v>0.01</v>
      </c>
      <c r="AB62" s="187">
        <v>487</v>
      </c>
      <c r="AC62" s="55"/>
      <c r="AD62" s="176">
        <v>0.13</v>
      </c>
      <c r="AI62" s="187">
        <v>482</v>
      </c>
      <c r="AJ62" s="187">
        <v>301.8</v>
      </c>
      <c r="AK62" s="187">
        <v>441.3</v>
      </c>
      <c r="AL62" s="187">
        <v>598</v>
      </c>
      <c r="AM62" s="187">
        <v>702.6</v>
      </c>
      <c r="AN62" s="187">
        <v>419.6</v>
      </c>
      <c r="AO62" s="187">
        <v>876</v>
      </c>
      <c r="AP62" s="187">
        <v>597.70000000000005</v>
      </c>
      <c r="AQ62" s="187">
        <v>481.4</v>
      </c>
      <c r="AR62" s="187">
        <v>614</v>
      </c>
      <c r="AS62" s="187">
        <v>424.8</v>
      </c>
      <c r="AT62" s="187">
        <v>525.79999999999995</v>
      </c>
      <c r="AU62" s="187">
        <v>453.9</v>
      </c>
      <c r="AV62" s="187">
        <v>530</v>
      </c>
      <c r="AW62" s="196">
        <v>877.6</v>
      </c>
      <c r="AX62" s="174">
        <v>0.13</v>
      </c>
      <c r="AY62" s="187">
        <v>882.7</v>
      </c>
      <c r="AZ62" s="174">
        <v>0.13</v>
      </c>
      <c r="BB62" s="187">
        <v>303.89999999999998</v>
      </c>
      <c r="BC62" s="176">
        <v>0.13</v>
      </c>
    </row>
    <row r="63" spans="1:55" ht="17.25" thickBot="1">
      <c r="A63" s="187">
        <v>484.3</v>
      </c>
      <c r="B63" s="187">
        <v>302.89999999999998</v>
      </c>
      <c r="C63" s="187">
        <v>443</v>
      </c>
      <c r="D63" s="54"/>
      <c r="E63" s="187">
        <v>483.7</v>
      </c>
      <c r="F63" s="54"/>
      <c r="G63" s="187">
        <v>426.4</v>
      </c>
      <c r="H63" s="196">
        <v>617.32999999999993</v>
      </c>
      <c r="I63" s="194">
        <v>12</v>
      </c>
      <c r="J63" s="174">
        <f t="shared" si="1"/>
        <v>0.12</v>
      </c>
      <c r="L63" s="54">
        <v>267</v>
      </c>
      <c r="M63" s="55">
        <v>1499</v>
      </c>
      <c r="N63" s="53">
        <v>9.4000000000000004E-3</v>
      </c>
      <c r="X63" s="54">
        <v>479.83</v>
      </c>
      <c r="Y63" s="55">
        <v>1549</v>
      </c>
      <c r="Z63" s="53">
        <v>9.7000000000000003E-3</v>
      </c>
      <c r="AB63" s="187">
        <v>488</v>
      </c>
      <c r="AC63" s="55"/>
      <c r="AD63" s="176">
        <v>0.127</v>
      </c>
      <c r="AI63" s="187">
        <v>483.1</v>
      </c>
      <c r="AJ63" s="187">
        <v>302.3</v>
      </c>
      <c r="AK63" s="187">
        <v>442</v>
      </c>
      <c r="AL63" s="187">
        <v>599.6</v>
      </c>
      <c r="AM63" s="187">
        <v>704.4</v>
      </c>
      <c r="AN63" s="187">
        <v>420.8</v>
      </c>
      <c r="AO63" s="187">
        <v>878</v>
      </c>
      <c r="AP63" s="187">
        <v>599.6</v>
      </c>
      <c r="AQ63" s="187">
        <v>482.5</v>
      </c>
      <c r="AR63" s="187">
        <v>615.5</v>
      </c>
      <c r="AS63" s="187">
        <v>425.5</v>
      </c>
      <c r="AT63" s="187">
        <v>527</v>
      </c>
      <c r="AU63" s="187">
        <v>454.9</v>
      </c>
      <c r="AV63" s="187">
        <v>531</v>
      </c>
      <c r="AW63" s="196">
        <v>879.7</v>
      </c>
      <c r="AX63" s="174">
        <v>0.125</v>
      </c>
      <c r="AY63" s="187">
        <v>884.2</v>
      </c>
      <c r="AZ63" s="174">
        <v>0.125</v>
      </c>
      <c r="BB63" s="187">
        <v>304.5</v>
      </c>
      <c r="BC63" s="176">
        <v>0.127</v>
      </c>
    </row>
    <row r="64" spans="1:55" ht="17.25" thickBot="1">
      <c r="A64" s="187">
        <v>485.2</v>
      </c>
      <c r="B64" s="187">
        <v>303.60000000000002</v>
      </c>
      <c r="C64" s="187">
        <v>443.9</v>
      </c>
      <c r="D64" s="54"/>
      <c r="E64" s="187">
        <v>484.9</v>
      </c>
      <c r="F64" s="54"/>
      <c r="G64" s="187">
        <v>427.3</v>
      </c>
      <c r="H64" s="196">
        <v>618.87</v>
      </c>
      <c r="I64" s="194">
        <v>11.5</v>
      </c>
      <c r="J64" s="174">
        <f t="shared" si="1"/>
        <v>0.115</v>
      </c>
      <c r="L64" s="54">
        <v>267.13</v>
      </c>
      <c r="M64" s="55">
        <v>1398</v>
      </c>
      <c r="N64" s="53">
        <v>8.6999999999999994E-3</v>
      </c>
      <c r="X64" s="54">
        <v>480.04</v>
      </c>
      <c r="Y64" s="55">
        <v>1499</v>
      </c>
      <c r="Z64" s="53">
        <v>9.4000000000000004E-3</v>
      </c>
      <c r="AB64" s="187">
        <v>488.8</v>
      </c>
      <c r="AC64" s="55"/>
      <c r="AD64" s="176">
        <v>0.12300000000000001</v>
      </c>
      <c r="AI64" s="187">
        <v>484.3</v>
      </c>
      <c r="AJ64" s="187">
        <v>302.89999999999998</v>
      </c>
      <c r="AK64" s="187">
        <v>443</v>
      </c>
      <c r="AL64" s="187">
        <v>601.1</v>
      </c>
      <c r="AM64" s="187">
        <v>705.8</v>
      </c>
      <c r="AN64" s="187">
        <v>422</v>
      </c>
      <c r="AO64" s="187">
        <v>880</v>
      </c>
      <c r="AP64" s="187">
        <v>601.1</v>
      </c>
      <c r="AQ64" s="187">
        <v>483.7</v>
      </c>
      <c r="AR64" s="187">
        <v>617</v>
      </c>
      <c r="AS64" s="187">
        <v>426.4</v>
      </c>
      <c r="AT64" s="187">
        <v>528.20000000000005</v>
      </c>
      <c r="AU64" s="187">
        <v>455.7</v>
      </c>
      <c r="AV64" s="187">
        <v>532</v>
      </c>
      <c r="AW64" s="196">
        <v>881.9</v>
      </c>
      <c r="AX64" s="174">
        <v>0.12</v>
      </c>
      <c r="AY64" s="187">
        <v>886.4</v>
      </c>
      <c r="AZ64" s="174">
        <v>0.12</v>
      </c>
      <c r="BB64" s="187">
        <v>305.10000000000002</v>
      </c>
      <c r="BC64" s="176">
        <v>0.12300000000000001</v>
      </c>
    </row>
    <row r="65" spans="1:55" ht="17.25" thickBot="1">
      <c r="A65" s="187">
        <v>485.9</v>
      </c>
      <c r="B65" s="187">
        <v>304.2</v>
      </c>
      <c r="C65" s="187">
        <v>444.8</v>
      </c>
      <c r="D65" s="54"/>
      <c r="E65" s="187">
        <v>485.9</v>
      </c>
      <c r="F65" s="54"/>
      <c r="G65" s="187">
        <v>428.1</v>
      </c>
      <c r="H65" s="196">
        <v>619.78</v>
      </c>
      <c r="I65" s="194">
        <v>11</v>
      </c>
      <c r="J65" s="174">
        <f t="shared" si="1"/>
        <v>0.11</v>
      </c>
      <c r="L65" s="54">
        <v>267.38</v>
      </c>
      <c r="M65" s="55">
        <v>1350</v>
      </c>
      <c r="N65" s="53">
        <v>8.3999999999999995E-3</v>
      </c>
      <c r="X65" s="54">
        <v>480.48</v>
      </c>
      <c r="Y65" s="55">
        <v>1450</v>
      </c>
      <c r="Z65" s="53">
        <v>9.1000000000000004E-3</v>
      </c>
      <c r="AB65" s="187">
        <v>489.7</v>
      </c>
      <c r="AC65" s="55"/>
      <c r="AD65" s="176">
        <v>0.12</v>
      </c>
      <c r="AI65" s="187">
        <v>485.2</v>
      </c>
      <c r="AJ65" s="187">
        <v>303.60000000000002</v>
      </c>
      <c r="AK65" s="187">
        <v>443.9</v>
      </c>
      <c r="AL65" s="187">
        <v>602.6</v>
      </c>
      <c r="AM65" s="187">
        <v>707.6</v>
      </c>
      <c r="AN65" s="187">
        <v>422.9</v>
      </c>
      <c r="AO65" s="187">
        <v>882</v>
      </c>
      <c r="AP65" s="187">
        <v>602.9</v>
      </c>
      <c r="AQ65" s="187">
        <v>484.9</v>
      </c>
      <c r="AR65" s="187">
        <v>618.5</v>
      </c>
      <c r="AS65" s="187">
        <v>427.3</v>
      </c>
      <c r="AT65" s="187">
        <v>529.4</v>
      </c>
      <c r="AU65" s="187">
        <v>456.7</v>
      </c>
      <c r="AV65" s="187">
        <v>533</v>
      </c>
      <c r="AW65" s="196">
        <v>884.1</v>
      </c>
      <c r="AX65" s="174">
        <v>0.115</v>
      </c>
      <c r="AY65" s="187">
        <v>888.2</v>
      </c>
      <c r="AZ65" s="174">
        <v>0.115</v>
      </c>
      <c r="BB65" s="187">
        <v>305.60000000000002</v>
      </c>
      <c r="BC65" s="176">
        <v>0.12</v>
      </c>
    </row>
    <row r="66" spans="1:55" ht="17.25" thickBot="1">
      <c r="A66" s="187">
        <v>487</v>
      </c>
      <c r="B66" s="187">
        <v>305</v>
      </c>
      <c r="C66" s="187">
        <v>445.7</v>
      </c>
      <c r="D66" s="54"/>
      <c r="E66" s="187">
        <v>486.9</v>
      </c>
      <c r="F66" s="54"/>
      <c r="G66" s="187">
        <v>429</v>
      </c>
      <c r="H66" s="196">
        <v>621.1099999999999</v>
      </c>
      <c r="I66" s="194">
        <v>10.7</v>
      </c>
      <c r="J66" s="174">
        <f t="shared" ref="J66:J97" si="2">I66/100</f>
        <v>0.107</v>
      </c>
      <c r="L66" s="54">
        <v>267.44</v>
      </c>
      <c r="M66" s="55">
        <v>1299</v>
      </c>
      <c r="N66" s="53">
        <v>8.0999999999999996E-3</v>
      </c>
      <c r="X66" s="54">
        <v>480.75</v>
      </c>
      <c r="Y66" s="55">
        <v>1398</v>
      </c>
      <c r="Z66" s="53">
        <v>8.6999999999999994E-3</v>
      </c>
      <c r="AB66" s="187">
        <v>490.8</v>
      </c>
      <c r="AC66" s="55"/>
      <c r="AD66" s="176">
        <v>0.11699999999999999</v>
      </c>
      <c r="AI66" s="187">
        <v>485.9</v>
      </c>
      <c r="AJ66" s="187">
        <v>304.2</v>
      </c>
      <c r="AK66" s="187">
        <v>444.8</v>
      </c>
      <c r="AL66" s="187">
        <v>604.1</v>
      </c>
      <c r="AM66" s="187">
        <v>709.3</v>
      </c>
      <c r="AN66" s="187">
        <v>423.8</v>
      </c>
      <c r="AO66" s="187">
        <v>884</v>
      </c>
      <c r="AP66" s="187">
        <v>604.1</v>
      </c>
      <c r="AQ66" s="187">
        <v>485.9</v>
      </c>
      <c r="AR66" s="187">
        <v>619.6</v>
      </c>
      <c r="AS66" s="187">
        <v>428.1</v>
      </c>
      <c r="AT66" s="187">
        <v>530.5</v>
      </c>
      <c r="AU66" s="187">
        <v>457.4</v>
      </c>
      <c r="AV66" s="187">
        <v>534</v>
      </c>
      <c r="AW66" s="196">
        <v>885.4</v>
      </c>
      <c r="AX66" s="174">
        <v>0.11</v>
      </c>
      <c r="AY66" s="187">
        <v>889.8</v>
      </c>
      <c r="AZ66" s="174">
        <v>0.11</v>
      </c>
      <c r="BB66" s="187">
        <v>306.2</v>
      </c>
      <c r="BC66" s="176">
        <v>0.11699999999999999</v>
      </c>
    </row>
    <row r="67" spans="1:55" ht="17.25" thickBot="1">
      <c r="A67" s="187">
        <v>488.2</v>
      </c>
      <c r="B67" s="187">
        <v>305.8</v>
      </c>
      <c r="C67" s="187">
        <v>447</v>
      </c>
      <c r="D67" s="57"/>
      <c r="E67" s="187">
        <v>487.9</v>
      </c>
      <c r="F67" s="54"/>
      <c r="G67" s="187">
        <v>430</v>
      </c>
      <c r="H67" s="196">
        <v>622.79</v>
      </c>
      <c r="I67" s="194">
        <v>10.3</v>
      </c>
      <c r="J67" s="174">
        <f t="shared" si="2"/>
        <v>0.10300000000000001</v>
      </c>
      <c r="L67" s="57">
        <v>267.69</v>
      </c>
      <c r="M67" s="60">
        <v>1248</v>
      </c>
      <c r="N67" s="63">
        <v>7.7999999999999996E-3</v>
      </c>
      <c r="X67" s="57">
        <v>480.9</v>
      </c>
      <c r="Y67" s="60">
        <v>1350</v>
      </c>
      <c r="Z67" s="63">
        <v>8.3999999999999995E-3</v>
      </c>
      <c r="AB67" s="187">
        <v>492</v>
      </c>
      <c r="AC67" s="55"/>
      <c r="AD67" s="176">
        <v>0.113</v>
      </c>
      <c r="AI67" s="187">
        <v>487</v>
      </c>
      <c r="AJ67" s="187">
        <v>305</v>
      </c>
      <c r="AK67" s="187">
        <v>445.7</v>
      </c>
      <c r="AL67" s="187">
        <v>605.6</v>
      </c>
      <c r="AM67" s="187">
        <v>711.1</v>
      </c>
      <c r="AN67" s="187">
        <v>424.6</v>
      </c>
      <c r="AO67" s="187">
        <v>886</v>
      </c>
      <c r="AP67" s="187">
        <v>605.6</v>
      </c>
      <c r="AQ67" s="187">
        <v>486.9</v>
      </c>
      <c r="AR67" s="187">
        <v>621.1</v>
      </c>
      <c r="AS67" s="187">
        <v>429</v>
      </c>
      <c r="AT67" s="187">
        <v>531.79999999999995</v>
      </c>
      <c r="AU67" s="187">
        <v>458.4</v>
      </c>
      <c r="AV67" s="187">
        <v>535</v>
      </c>
      <c r="AW67" s="196">
        <v>887.3</v>
      </c>
      <c r="AX67" s="174">
        <v>0.107</v>
      </c>
      <c r="AY67" s="187">
        <v>891.9</v>
      </c>
      <c r="AZ67" s="174">
        <v>0.107</v>
      </c>
      <c r="BB67" s="187">
        <v>306.8</v>
      </c>
      <c r="BC67" s="176">
        <v>0.113</v>
      </c>
    </row>
    <row r="68" spans="1:55" ht="17.25" thickBot="1">
      <c r="A68" s="187">
        <v>489.4</v>
      </c>
      <c r="B68" s="187">
        <v>306.5</v>
      </c>
      <c r="C68" s="187">
        <v>448.1</v>
      </c>
      <c r="D68" s="54"/>
      <c r="E68" s="187">
        <v>488.9</v>
      </c>
      <c r="F68" s="54"/>
      <c r="G68" s="187">
        <v>431.1</v>
      </c>
      <c r="H68" s="196">
        <v>624.12</v>
      </c>
      <c r="I68" s="194">
        <v>10</v>
      </c>
      <c r="J68" s="174">
        <f t="shared" si="2"/>
        <v>0.1</v>
      </c>
      <c r="L68" s="54">
        <v>267.97000000000003</v>
      </c>
      <c r="M68" s="55">
        <v>1198</v>
      </c>
      <c r="N68" s="53">
        <v>7.4999999999999997E-3</v>
      </c>
      <c r="X68" s="54">
        <v>481.19</v>
      </c>
      <c r="Y68" s="55">
        <v>1299</v>
      </c>
      <c r="Z68" s="53">
        <v>8.0999999999999996E-3</v>
      </c>
      <c r="AB68" s="187">
        <v>493</v>
      </c>
      <c r="AC68" s="55"/>
      <c r="AD68" s="176">
        <v>0.11</v>
      </c>
      <c r="AI68" s="187">
        <v>488.2</v>
      </c>
      <c r="AJ68" s="187">
        <v>305.8</v>
      </c>
      <c r="AK68" s="187">
        <v>447</v>
      </c>
      <c r="AL68" s="187">
        <v>607.1</v>
      </c>
      <c r="AM68" s="187">
        <v>712.6</v>
      </c>
      <c r="AN68" s="187">
        <v>425.6</v>
      </c>
      <c r="AO68" s="187">
        <v>888</v>
      </c>
      <c r="AP68" s="187">
        <v>607.1</v>
      </c>
      <c r="AQ68" s="187">
        <v>487.9</v>
      </c>
      <c r="AR68" s="187">
        <v>622.6</v>
      </c>
      <c r="AS68" s="187">
        <v>430</v>
      </c>
      <c r="AT68" s="187">
        <v>532.79999999999995</v>
      </c>
      <c r="AU68" s="187">
        <v>459.2</v>
      </c>
      <c r="AV68" s="187">
        <v>536</v>
      </c>
      <c r="AW68" s="196">
        <v>889.7</v>
      </c>
      <c r="AX68" s="174">
        <v>0.10300000000000001</v>
      </c>
      <c r="AY68" s="187">
        <v>893.9</v>
      </c>
      <c r="AZ68" s="174">
        <v>0.10300000000000001</v>
      </c>
      <c r="BB68" s="187">
        <v>307.5</v>
      </c>
      <c r="BC68" s="176">
        <v>0.11</v>
      </c>
    </row>
    <row r="69" spans="1:55" ht="17.25" thickBot="1">
      <c r="A69" s="187">
        <v>490.4</v>
      </c>
      <c r="B69" s="187">
        <v>307</v>
      </c>
      <c r="C69" s="187">
        <v>448.9</v>
      </c>
      <c r="D69" s="54"/>
      <c r="E69" s="187">
        <v>490</v>
      </c>
      <c r="F69" s="54"/>
      <c r="G69" s="187">
        <v>432.1</v>
      </c>
      <c r="H69" s="196">
        <v>625.16999999999996</v>
      </c>
      <c r="I69" s="194">
        <v>9.6999999999999993</v>
      </c>
      <c r="J69" s="174">
        <f t="shared" si="2"/>
        <v>9.6999999999999989E-2</v>
      </c>
      <c r="L69" s="54">
        <v>268.31</v>
      </c>
      <c r="M69" s="55">
        <v>1149</v>
      </c>
      <c r="N69" s="53">
        <v>7.1999999999999998E-3</v>
      </c>
      <c r="X69" s="54">
        <v>481.54</v>
      </c>
      <c r="Y69" s="55">
        <v>1248</v>
      </c>
      <c r="Z69" s="53">
        <v>7.7999999999999996E-3</v>
      </c>
      <c r="AB69" s="187">
        <v>494</v>
      </c>
      <c r="AC69" s="60"/>
      <c r="AD69" s="176">
        <v>0.107</v>
      </c>
      <c r="AI69" s="187">
        <v>489.4</v>
      </c>
      <c r="AJ69" s="187">
        <v>306.5</v>
      </c>
      <c r="AK69" s="187">
        <v>448.1</v>
      </c>
      <c r="AL69" s="187">
        <v>608.5</v>
      </c>
      <c r="AM69" s="187">
        <v>714.2</v>
      </c>
      <c r="AN69" s="187">
        <v>426.7</v>
      </c>
      <c r="AO69" s="187">
        <v>890</v>
      </c>
      <c r="AP69" s="187">
        <v>608.6</v>
      </c>
      <c r="AQ69" s="187">
        <v>488.9</v>
      </c>
      <c r="AR69" s="187">
        <v>624.29999999999995</v>
      </c>
      <c r="AS69" s="187">
        <v>431.1</v>
      </c>
      <c r="AT69" s="187">
        <v>534</v>
      </c>
      <c r="AU69" s="187">
        <v>460.1</v>
      </c>
      <c r="AV69" s="187">
        <v>537</v>
      </c>
      <c r="AW69" s="196">
        <v>891.6</v>
      </c>
      <c r="AX69" s="174">
        <v>0.1</v>
      </c>
      <c r="AY69" s="187">
        <v>896</v>
      </c>
      <c r="AZ69" s="174">
        <v>0.1</v>
      </c>
      <c r="BB69" s="187">
        <v>308.10000000000002</v>
      </c>
      <c r="BC69" s="176">
        <v>0.107</v>
      </c>
    </row>
    <row r="70" spans="1:55" ht="17.25" thickBot="1">
      <c r="A70" s="187">
        <v>491.2</v>
      </c>
      <c r="B70" s="187">
        <v>307.7</v>
      </c>
      <c r="C70" s="187">
        <v>449.9</v>
      </c>
      <c r="D70" s="54"/>
      <c r="E70" s="187">
        <v>491.2</v>
      </c>
      <c r="F70" s="54"/>
      <c r="G70" s="187">
        <v>433.1</v>
      </c>
      <c r="H70" s="196">
        <v>626.70999999999992</v>
      </c>
      <c r="I70" s="194">
        <v>9.3000000000000007</v>
      </c>
      <c r="J70" s="174">
        <f t="shared" si="2"/>
        <v>9.3000000000000013E-2</v>
      </c>
      <c r="L70" s="54">
        <v>268.56</v>
      </c>
      <c r="M70" s="55">
        <v>1099</v>
      </c>
      <c r="N70" s="53">
        <v>6.8999999999999999E-3</v>
      </c>
      <c r="X70" s="54">
        <v>481.81</v>
      </c>
      <c r="Y70" s="55">
        <v>1198</v>
      </c>
      <c r="Z70" s="53">
        <v>7.4999999999999997E-3</v>
      </c>
      <c r="AB70" s="187">
        <v>495.1</v>
      </c>
      <c r="AC70" s="55"/>
      <c r="AD70" s="176">
        <v>0.10300000000000001</v>
      </c>
      <c r="AI70" s="187">
        <v>490.4</v>
      </c>
      <c r="AJ70" s="187">
        <v>307</v>
      </c>
      <c r="AK70" s="187">
        <v>448.9</v>
      </c>
      <c r="AL70" s="187">
        <v>609.70000000000005</v>
      </c>
      <c r="AM70" s="187">
        <v>715.6</v>
      </c>
      <c r="AN70" s="187">
        <v>427.6</v>
      </c>
      <c r="AO70" s="187">
        <v>892</v>
      </c>
      <c r="AP70" s="187">
        <v>609.70000000000005</v>
      </c>
      <c r="AQ70" s="187">
        <v>490</v>
      </c>
      <c r="AR70" s="187">
        <v>625.4</v>
      </c>
      <c r="AS70" s="187">
        <v>432.1</v>
      </c>
      <c r="AT70" s="187">
        <v>535.1</v>
      </c>
      <c r="AU70" s="187">
        <v>461</v>
      </c>
      <c r="AV70" s="187">
        <v>538</v>
      </c>
      <c r="AW70" s="196">
        <v>893.1</v>
      </c>
      <c r="AX70" s="174">
        <v>9.6999999999999989E-2</v>
      </c>
      <c r="AY70" s="187">
        <v>898</v>
      </c>
      <c r="AZ70" s="174">
        <v>9.6999999999999989E-2</v>
      </c>
      <c r="BB70" s="187">
        <v>308.7</v>
      </c>
      <c r="BC70" s="176">
        <v>0.10300000000000001</v>
      </c>
    </row>
    <row r="71" spans="1:55" ht="17.25" thickBot="1">
      <c r="A71" s="187">
        <v>492.4</v>
      </c>
      <c r="B71" s="187">
        <v>308.2</v>
      </c>
      <c r="C71" s="187">
        <v>450.7</v>
      </c>
      <c r="D71" s="54"/>
      <c r="E71" s="187">
        <v>492.2</v>
      </c>
      <c r="F71" s="54"/>
      <c r="G71" s="187">
        <v>433.8</v>
      </c>
      <c r="H71" s="196">
        <v>628.39</v>
      </c>
      <c r="I71" s="194">
        <v>9</v>
      </c>
      <c r="J71" s="174">
        <f t="shared" si="2"/>
        <v>0.09</v>
      </c>
      <c r="L71" s="54">
        <v>268.81</v>
      </c>
      <c r="M71" s="55">
        <v>1050</v>
      </c>
      <c r="N71" s="53">
        <v>6.6E-3</v>
      </c>
      <c r="X71" s="54">
        <v>482.17</v>
      </c>
      <c r="Y71" s="55">
        <v>1149</v>
      </c>
      <c r="Z71" s="53">
        <v>7.1999999999999998E-3</v>
      </c>
      <c r="AB71" s="187">
        <v>496.1</v>
      </c>
      <c r="AC71" s="55"/>
      <c r="AD71" s="176">
        <v>0.1</v>
      </c>
      <c r="AI71" s="187">
        <v>491.2</v>
      </c>
      <c r="AJ71" s="187">
        <v>307.7</v>
      </c>
      <c r="AK71" s="187">
        <v>449.9</v>
      </c>
      <c r="AL71" s="187">
        <v>611</v>
      </c>
      <c r="AM71" s="187">
        <v>717.2</v>
      </c>
      <c r="AN71" s="187">
        <v>428.7</v>
      </c>
      <c r="AO71" s="187">
        <v>894</v>
      </c>
      <c r="AP71" s="187">
        <v>611.4</v>
      </c>
      <c r="AQ71" s="187">
        <v>491.2</v>
      </c>
      <c r="AR71" s="187">
        <v>627.29999999999995</v>
      </c>
      <c r="AS71" s="187">
        <v>433.1</v>
      </c>
      <c r="AT71" s="187">
        <v>536.29999999999995</v>
      </c>
      <c r="AU71" s="187">
        <v>462</v>
      </c>
      <c r="AV71" s="187">
        <v>539</v>
      </c>
      <c r="AW71" s="196">
        <v>895.3</v>
      </c>
      <c r="AX71" s="174">
        <v>9.3000000000000013E-2</v>
      </c>
      <c r="AY71" s="187">
        <v>900.1</v>
      </c>
      <c r="AZ71" s="174">
        <v>9.3000000000000013E-2</v>
      </c>
      <c r="BB71" s="187">
        <v>309.39999999999998</v>
      </c>
      <c r="BC71" s="176">
        <v>0.1</v>
      </c>
    </row>
    <row r="72" spans="1:55" ht="17.25" thickBot="1">
      <c r="A72" s="187">
        <v>493.5</v>
      </c>
      <c r="B72" s="187">
        <v>309</v>
      </c>
      <c r="C72" s="187">
        <v>451.8</v>
      </c>
      <c r="D72" s="54"/>
      <c r="E72" s="187">
        <v>493.2</v>
      </c>
      <c r="F72" s="54"/>
      <c r="G72" s="187">
        <v>434.8</v>
      </c>
      <c r="H72" s="196">
        <v>630.06999999999994</v>
      </c>
      <c r="I72" s="194">
        <v>8.6999999999999993</v>
      </c>
      <c r="J72" s="174">
        <f t="shared" si="2"/>
        <v>8.6999999999999994E-2</v>
      </c>
      <c r="L72" s="54">
        <v>268.95999999999998</v>
      </c>
      <c r="M72" s="52">
        <v>999</v>
      </c>
      <c r="N72" s="53">
        <v>6.1999999999999998E-3</v>
      </c>
      <c r="X72" s="54">
        <v>482.32</v>
      </c>
      <c r="Y72" s="55">
        <v>1099</v>
      </c>
      <c r="Z72" s="53">
        <v>6.8999999999999999E-3</v>
      </c>
      <c r="AB72" s="187">
        <v>497.2</v>
      </c>
      <c r="AC72" s="55"/>
      <c r="AD72" s="176">
        <v>9.6999999999999989E-2</v>
      </c>
      <c r="AI72" s="187">
        <v>492.4</v>
      </c>
      <c r="AJ72" s="187">
        <v>308.2</v>
      </c>
      <c r="AK72" s="187">
        <v>450.7</v>
      </c>
      <c r="AL72" s="187">
        <v>612.29999999999995</v>
      </c>
      <c r="AM72" s="187">
        <v>718.8</v>
      </c>
      <c r="AN72" s="187">
        <v>429.6</v>
      </c>
      <c r="AO72" s="187">
        <v>896</v>
      </c>
      <c r="AP72" s="187">
        <v>612.5</v>
      </c>
      <c r="AQ72" s="187">
        <v>492.2</v>
      </c>
      <c r="AR72" s="187">
        <v>628.5</v>
      </c>
      <c r="AS72" s="187">
        <v>433.8</v>
      </c>
      <c r="AT72" s="187">
        <v>537.4</v>
      </c>
      <c r="AU72" s="187">
        <v>462.8</v>
      </c>
      <c r="AV72" s="187">
        <v>540</v>
      </c>
      <c r="AW72" s="196">
        <v>897.7</v>
      </c>
      <c r="AX72" s="174">
        <v>0.09</v>
      </c>
      <c r="AY72" s="187">
        <v>901.8</v>
      </c>
      <c r="AZ72" s="174">
        <v>0.09</v>
      </c>
      <c r="BB72" s="187">
        <v>310.10000000000002</v>
      </c>
      <c r="BC72" s="176">
        <v>9.6999999999999989E-2</v>
      </c>
    </row>
    <row r="73" spans="1:55" ht="17.25" thickBot="1">
      <c r="A73" s="187">
        <v>494.4</v>
      </c>
      <c r="B73" s="187">
        <v>309.5</v>
      </c>
      <c r="C73" s="187">
        <v>452.6</v>
      </c>
      <c r="D73" s="54"/>
      <c r="E73" s="187">
        <v>494.3</v>
      </c>
      <c r="F73" s="54"/>
      <c r="G73" s="187">
        <v>435.6</v>
      </c>
      <c r="H73" s="196">
        <v>631.12</v>
      </c>
      <c r="I73" s="194">
        <v>8.3000000000000007</v>
      </c>
      <c r="J73" s="174">
        <f t="shared" si="2"/>
        <v>8.3000000000000004E-2</v>
      </c>
      <c r="L73" s="54">
        <v>269.19</v>
      </c>
      <c r="M73" s="52">
        <v>949</v>
      </c>
      <c r="N73" s="53">
        <v>5.8999999999999999E-3</v>
      </c>
      <c r="X73" s="54">
        <v>482.8</v>
      </c>
      <c r="Y73" s="55">
        <v>1050</v>
      </c>
      <c r="Z73" s="53">
        <v>6.6E-3</v>
      </c>
      <c r="AB73" s="187">
        <v>498</v>
      </c>
      <c r="AC73" s="55"/>
      <c r="AD73" s="176">
        <v>9.3000000000000013E-2</v>
      </c>
      <c r="AI73" s="187">
        <v>493.5</v>
      </c>
      <c r="AJ73" s="187">
        <v>309</v>
      </c>
      <c r="AK73" s="187">
        <v>451.8</v>
      </c>
      <c r="AL73" s="187">
        <v>613.29999999999995</v>
      </c>
      <c r="AM73" s="187">
        <v>720.3</v>
      </c>
      <c r="AN73" s="187">
        <v>430.5</v>
      </c>
      <c r="AO73" s="187">
        <v>898</v>
      </c>
      <c r="AP73" s="187">
        <v>613.6</v>
      </c>
      <c r="AQ73" s="187">
        <v>493.2</v>
      </c>
      <c r="AR73" s="187">
        <v>629.9</v>
      </c>
      <c r="AS73" s="187">
        <v>434.8</v>
      </c>
      <c r="AT73" s="187">
        <v>538.5</v>
      </c>
      <c r="AU73" s="187">
        <v>463.5</v>
      </c>
      <c r="AV73" s="187">
        <v>541</v>
      </c>
      <c r="AW73" s="196">
        <v>900.1</v>
      </c>
      <c r="AX73" s="174">
        <v>8.6999999999999994E-2</v>
      </c>
      <c r="AY73" s="187">
        <v>903.7</v>
      </c>
      <c r="AZ73" s="174">
        <v>8.6999999999999994E-2</v>
      </c>
      <c r="BB73" s="187">
        <v>310.8</v>
      </c>
      <c r="BC73" s="176">
        <v>9.3000000000000013E-2</v>
      </c>
    </row>
    <row r="74" spans="1:55" ht="17.25" thickBot="1">
      <c r="A74" s="187">
        <v>495.3</v>
      </c>
      <c r="B74" s="187">
        <v>310</v>
      </c>
      <c r="C74" s="187">
        <v>453.3</v>
      </c>
      <c r="D74" s="54"/>
      <c r="E74" s="187">
        <v>495.3</v>
      </c>
      <c r="F74" s="54"/>
      <c r="G74" s="187">
        <v>436.3</v>
      </c>
      <c r="H74" s="196">
        <v>632.16999999999996</v>
      </c>
      <c r="I74" s="194">
        <v>8</v>
      </c>
      <c r="J74" s="174">
        <f t="shared" si="2"/>
        <v>0.08</v>
      </c>
      <c r="L74" s="54">
        <v>269.38</v>
      </c>
      <c r="M74" s="52">
        <v>899</v>
      </c>
      <c r="N74" s="53">
        <v>5.5999999999999999E-3</v>
      </c>
      <c r="X74" s="54">
        <v>483.16</v>
      </c>
      <c r="Y74" s="52">
        <v>999</v>
      </c>
      <c r="Z74" s="53">
        <v>6.1999999999999998E-3</v>
      </c>
      <c r="AB74" s="187">
        <v>498.8</v>
      </c>
      <c r="AC74" s="55"/>
      <c r="AD74" s="176">
        <v>0.09</v>
      </c>
      <c r="AI74" s="187">
        <v>494.4</v>
      </c>
      <c r="AJ74" s="187">
        <v>309.5</v>
      </c>
      <c r="AK74" s="187">
        <v>452.6</v>
      </c>
      <c r="AL74" s="187">
        <v>614.5</v>
      </c>
      <c r="AM74" s="187">
        <v>721.8</v>
      </c>
      <c r="AN74" s="187">
        <v>431.2</v>
      </c>
      <c r="AO74" s="187">
        <v>900</v>
      </c>
      <c r="AP74" s="187">
        <v>614.79999999999995</v>
      </c>
      <c r="AQ74" s="187">
        <v>494.3</v>
      </c>
      <c r="AR74" s="187">
        <v>631</v>
      </c>
      <c r="AS74" s="187">
        <v>435.6</v>
      </c>
      <c r="AT74" s="187">
        <v>539.5</v>
      </c>
      <c r="AU74" s="187">
        <v>464.2</v>
      </c>
      <c r="AV74" s="187">
        <v>542</v>
      </c>
      <c r="AW74" s="196">
        <v>901.6</v>
      </c>
      <c r="AX74" s="174">
        <v>8.3000000000000004E-2</v>
      </c>
      <c r="AY74" s="187">
        <v>905.4</v>
      </c>
      <c r="AZ74" s="174">
        <v>8.3000000000000004E-2</v>
      </c>
      <c r="BB74" s="187">
        <v>311.3</v>
      </c>
      <c r="BC74" s="176">
        <v>0.09</v>
      </c>
    </row>
    <row r="75" spans="1:55" ht="17.25" thickBot="1">
      <c r="A75" s="187">
        <v>496.3</v>
      </c>
      <c r="B75" s="187">
        <v>310.7</v>
      </c>
      <c r="C75" s="187">
        <v>454.3</v>
      </c>
      <c r="D75" s="57"/>
      <c r="E75" s="187">
        <v>496.2</v>
      </c>
      <c r="F75" s="54"/>
      <c r="G75" s="187">
        <v>437.3</v>
      </c>
      <c r="H75" s="196">
        <v>633.5</v>
      </c>
      <c r="I75" s="194">
        <v>7.7</v>
      </c>
      <c r="J75" s="174">
        <f t="shared" si="2"/>
        <v>7.6999999999999999E-2</v>
      </c>
      <c r="L75" s="113">
        <v>269.44</v>
      </c>
      <c r="M75" s="114">
        <v>800</v>
      </c>
      <c r="N75" s="115">
        <v>5.0000000000000001E-3</v>
      </c>
      <c r="X75" s="57">
        <v>483.44</v>
      </c>
      <c r="Y75" s="59">
        <v>949</v>
      </c>
      <c r="Z75" s="63">
        <v>5.8999999999999999E-3</v>
      </c>
      <c r="AB75" s="187">
        <v>499.8</v>
      </c>
      <c r="AC75" s="55"/>
      <c r="AD75" s="176">
        <v>8.6999999999999994E-2</v>
      </c>
      <c r="AI75" s="187">
        <v>495.3</v>
      </c>
      <c r="AJ75" s="187">
        <v>310</v>
      </c>
      <c r="AK75" s="187">
        <v>453.3</v>
      </c>
      <c r="AL75" s="187">
        <v>615.79999999999995</v>
      </c>
      <c r="AM75" s="187">
        <v>723</v>
      </c>
      <c r="AN75" s="187">
        <v>432.3</v>
      </c>
      <c r="AO75" s="187">
        <v>902</v>
      </c>
      <c r="AP75" s="187">
        <v>615.79999999999995</v>
      </c>
      <c r="AQ75" s="187">
        <v>495.3</v>
      </c>
      <c r="AR75" s="187">
        <v>632.20000000000005</v>
      </c>
      <c r="AS75" s="187">
        <v>436.3</v>
      </c>
      <c r="AT75" s="187">
        <v>540.5</v>
      </c>
      <c r="AU75" s="187">
        <v>464.9</v>
      </c>
      <c r="AV75" s="187">
        <v>543</v>
      </c>
      <c r="AW75" s="196">
        <v>903.1</v>
      </c>
      <c r="AX75" s="174">
        <v>0.08</v>
      </c>
      <c r="AY75" s="187">
        <v>906.8</v>
      </c>
      <c r="AZ75" s="174">
        <v>0.08</v>
      </c>
      <c r="BB75" s="187">
        <v>311.8</v>
      </c>
      <c r="BC75" s="176">
        <v>8.6999999999999994E-2</v>
      </c>
    </row>
    <row r="76" spans="1:55" ht="17.25" thickBot="1">
      <c r="A76" s="187">
        <v>497.5</v>
      </c>
      <c r="B76" s="187">
        <v>311.39999999999998</v>
      </c>
      <c r="C76" s="187">
        <v>455.4</v>
      </c>
      <c r="D76" s="54"/>
      <c r="E76" s="187">
        <v>497.1</v>
      </c>
      <c r="F76" s="54"/>
      <c r="G76" s="187">
        <v>438.3</v>
      </c>
      <c r="H76" s="196">
        <v>634.75999999999988</v>
      </c>
      <c r="I76" s="194">
        <v>7.3</v>
      </c>
      <c r="J76" s="174">
        <f t="shared" si="2"/>
        <v>7.2999999999999995E-2</v>
      </c>
      <c r="L76" s="54">
        <v>269.88</v>
      </c>
      <c r="M76" s="52">
        <v>749</v>
      </c>
      <c r="N76" s="53">
        <v>4.7000000000000002E-3</v>
      </c>
      <c r="X76" s="54">
        <v>483.89</v>
      </c>
      <c r="Y76" s="52">
        <v>899</v>
      </c>
      <c r="Z76" s="53">
        <v>5.5999999999999999E-3</v>
      </c>
      <c r="AB76" s="187">
        <v>501</v>
      </c>
      <c r="AC76" s="55"/>
      <c r="AD76" s="176">
        <v>8.3000000000000004E-2</v>
      </c>
      <c r="AI76" s="187">
        <v>496.3</v>
      </c>
      <c r="AJ76" s="187">
        <v>310.7</v>
      </c>
      <c r="AK76" s="187">
        <v>454.3</v>
      </c>
      <c r="AL76" s="187">
        <v>617.29999999999995</v>
      </c>
      <c r="AM76" s="187">
        <v>724.6</v>
      </c>
      <c r="AN76" s="187">
        <v>433.4</v>
      </c>
      <c r="AO76" s="187">
        <v>904</v>
      </c>
      <c r="AP76" s="187">
        <v>617.5</v>
      </c>
      <c r="AQ76" s="187">
        <v>496.2</v>
      </c>
      <c r="AR76" s="187">
        <v>633.6</v>
      </c>
      <c r="AS76" s="187">
        <v>437.3</v>
      </c>
      <c r="AT76" s="187">
        <v>541.79999999999995</v>
      </c>
      <c r="AU76" s="187">
        <v>465.9</v>
      </c>
      <c r="AV76" s="187">
        <v>544</v>
      </c>
      <c r="AW76" s="196">
        <v>905</v>
      </c>
      <c r="AX76" s="174">
        <v>7.6999999999999999E-2</v>
      </c>
      <c r="AY76" s="187">
        <v>908.9</v>
      </c>
      <c r="AZ76" s="174">
        <v>7.6999999999999999E-2</v>
      </c>
      <c r="BB76" s="187">
        <v>312.60000000000002</v>
      </c>
      <c r="BC76" s="176">
        <v>8.3000000000000004E-2</v>
      </c>
    </row>
    <row r="77" spans="1:55" ht="17.25" thickBot="1">
      <c r="A77" s="187">
        <v>498.6</v>
      </c>
      <c r="B77" s="187">
        <v>311.89999999999998</v>
      </c>
      <c r="C77" s="187">
        <v>456.3</v>
      </c>
      <c r="D77" s="54"/>
      <c r="E77" s="187">
        <v>498.1</v>
      </c>
      <c r="F77" s="54"/>
      <c r="G77" s="187">
        <v>439.2</v>
      </c>
      <c r="H77" s="196">
        <v>636.16</v>
      </c>
      <c r="I77" s="194">
        <v>7</v>
      </c>
      <c r="J77" s="174">
        <f t="shared" si="2"/>
        <v>7.0000000000000007E-2</v>
      </c>
      <c r="L77" s="54">
        <v>270</v>
      </c>
      <c r="M77" s="52">
        <v>700</v>
      </c>
      <c r="N77" s="53">
        <v>4.4000000000000003E-3</v>
      </c>
      <c r="X77" s="54">
        <v>484.25</v>
      </c>
      <c r="Y77" s="52">
        <v>849</v>
      </c>
      <c r="Z77" s="53">
        <v>5.3E-3</v>
      </c>
      <c r="AB77" s="187">
        <v>502</v>
      </c>
      <c r="AC77" s="165"/>
      <c r="AD77" s="176">
        <v>0.08</v>
      </c>
      <c r="AI77" s="187">
        <v>497.5</v>
      </c>
      <c r="AJ77" s="187">
        <v>311.39999999999998</v>
      </c>
      <c r="AK77" s="187">
        <v>455.4</v>
      </c>
      <c r="AL77" s="187">
        <v>618.79999999999995</v>
      </c>
      <c r="AM77" s="187">
        <v>726.1</v>
      </c>
      <c r="AN77" s="187">
        <v>434.2</v>
      </c>
      <c r="AO77" s="187">
        <v>906</v>
      </c>
      <c r="AP77" s="187">
        <v>618.70000000000005</v>
      </c>
      <c r="AQ77" s="187">
        <v>497.1</v>
      </c>
      <c r="AR77" s="187">
        <v>634.9</v>
      </c>
      <c r="AS77" s="187">
        <v>438.3</v>
      </c>
      <c r="AT77" s="187">
        <v>542.9</v>
      </c>
      <c r="AU77" s="187">
        <v>466.6</v>
      </c>
      <c r="AV77" s="187">
        <v>545</v>
      </c>
      <c r="AW77" s="196">
        <v>906.8</v>
      </c>
      <c r="AX77" s="174">
        <v>7.2999999999999995E-2</v>
      </c>
      <c r="AY77" s="187">
        <v>910.9</v>
      </c>
      <c r="AZ77" s="174">
        <v>7.2999999999999995E-2</v>
      </c>
      <c r="BB77" s="187">
        <v>313.10000000000002</v>
      </c>
      <c r="BC77" s="176">
        <v>0.08</v>
      </c>
    </row>
    <row r="78" spans="1:55" ht="17.25" thickBot="1">
      <c r="A78" s="187">
        <v>499.5</v>
      </c>
      <c r="B78" s="187">
        <v>312.7</v>
      </c>
      <c r="C78" s="187">
        <v>457.3</v>
      </c>
      <c r="D78" s="56"/>
      <c r="E78" s="187">
        <v>499.3</v>
      </c>
      <c r="F78" s="54"/>
      <c r="G78" s="187">
        <v>440.1</v>
      </c>
      <c r="H78" s="196">
        <v>637.63</v>
      </c>
      <c r="I78" s="194">
        <v>6.7</v>
      </c>
      <c r="J78" s="174">
        <f t="shared" si="2"/>
        <v>6.7000000000000004E-2</v>
      </c>
      <c r="L78" s="54">
        <v>270.13</v>
      </c>
      <c r="M78" s="52">
        <v>650</v>
      </c>
      <c r="N78" s="53">
        <v>4.1000000000000003E-3</v>
      </c>
      <c r="X78" s="56">
        <v>484.52</v>
      </c>
      <c r="Y78" s="61">
        <v>800</v>
      </c>
      <c r="Z78" s="62">
        <v>5.0000000000000001E-3</v>
      </c>
      <c r="AB78" s="187">
        <v>503.1</v>
      </c>
      <c r="AC78" s="55"/>
      <c r="AD78" s="176">
        <v>7.6999999999999999E-2</v>
      </c>
      <c r="AI78" s="187">
        <v>498.6</v>
      </c>
      <c r="AJ78" s="187">
        <v>311.89999999999998</v>
      </c>
      <c r="AK78" s="187">
        <v>456.3</v>
      </c>
      <c r="AL78" s="187">
        <v>620.29999999999995</v>
      </c>
      <c r="AM78" s="187">
        <v>727.8</v>
      </c>
      <c r="AN78" s="187">
        <v>435</v>
      </c>
      <c r="AO78" s="187">
        <v>908</v>
      </c>
      <c r="AP78" s="187">
        <v>620.29999999999995</v>
      </c>
      <c r="AQ78" s="187">
        <v>498.1</v>
      </c>
      <c r="AR78" s="187">
        <v>636.29999999999995</v>
      </c>
      <c r="AS78" s="187">
        <v>439.2</v>
      </c>
      <c r="AT78" s="187">
        <v>544.1</v>
      </c>
      <c r="AU78" s="187">
        <v>467.4</v>
      </c>
      <c r="AV78" s="187">
        <v>546</v>
      </c>
      <c r="AW78" s="196">
        <v>908.8</v>
      </c>
      <c r="AX78" s="174">
        <v>7.0000000000000007E-2</v>
      </c>
      <c r="AY78" s="187">
        <v>912.9</v>
      </c>
      <c r="AZ78" s="174">
        <v>7.0000000000000007E-2</v>
      </c>
      <c r="BB78" s="187">
        <v>313.8</v>
      </c>
      <c r="BC78" s="176">
        <v>7.6999999999999999E-2</v>
      </c>
    </row>
    <row r="79" spans="1:55" ht="17.25" thickBot="1">
      <c r="A79" s="187">
        <v>500.4</v>
      </c>
      <c r="B79" s="187">
        <v>313.2</v>
      </c>
      <c r="C79" s="187">
        <v>458.1</v>
      </c>
      <c r="D79" s="54"/>
      <c r="E79" s="187">
        <v>500.3</v>
      </c>
      <c r="F79" s="54"/>
      <c r="G79" s="187">
        <v>440.8</v>
      </c>
      <c r="H79" s="196">
        <v>638.75</v>
      </c>
      <c r="I79" s="194">
        <v>6.3</v>
      </c>
      <c r="J79" s="174">
        <f t="shared" si="2"/>
        <v>6.3E-2</v>
      </c>
      <c r="L79" s="54">
        <v>270.48</v>
      </c>
      <c r="M79" s="52">
        <v>600</v>
      </c>
      <c r="N79" s="53">
        <v>3.7000000000000002E-3</v>
      </c>
      <c r="X79" s="54">
        <v>485.16</v>
      </c>
      <c r="Y79" s="52">
        <v>749</v>
      </c>
      <c r="Z79" s="53">
        <v>4.7000000000000002E-3</v>
      </c>
      <c r="AB79" s="187">
        <v>504</v>
      </c>
      <c r="AC79" s="55"/>
      <c r="AD79" s="176">
        <v>7.2999999999999995E-2</v>
      </c>
      <c r="AI79" s="187">
        <v>499.5</v>
      </c>
      <c r="AJ79" s="187">
        <v>312.7</v>
      </c>
      <c r="AK79" s="187">
        <v>457.3</v>
      </c>
      <c r="AL79" s="187">
        <v>621.79999999999995</v>
      </c>
      <c r="AM79" s="187">
        <v>729.5</v>
      </c>
      <c r="AN79" s="187">
        <v>436</v>
      </c>
      <c r="AO79" s="187">
        <v>910</v>
      </c>
      <c r="AP79" s="187">
        <v>621.9</v>
      </c>
      <c r="AQ79" s="187">
        <v>499.3</v>
      </c>
      <c r="AR79" s="187">
        <v>638</v>
      </c>
      <c r="AS79" s="187">
        <v>440.1</v>
      </c>
      <c r="AT79" s="187">
        <v>545.4</v>
      </c>
      <c r="AU79" s="187">
        <v>468.4</v>
      </c>
      <c r="AV79" s="187">
        <v>547</v>
      </c>
      <c r="AW79" s="196">
        <v>910.9</v>
      </c>
      <c r="AX79" s="174">
        <v>6.7000000000000004E-2</v>
      </c>
      <c r="AY79" s="187">
        <v>914.9</v>
      </c>
      <c r="AZ79" s="174">
        <v>6.7000000000000004E-2</v>
      </c>
      <c r="BB79" s="187">
        <v>314.3</v>
      </c>
      <c r="BC79" s="176">
        <v>7.2999999999999995E-2</v>
      </c>
    </row>
    <row r="80" spans="1:55" ht="17.25" thickBot="1">
      <c r="A80" s="187">
        <v>501.2</v>
      </c>
      <c r="B80" s="187">
        <v>313.89999999999998</v>
      </c>
      <c r="C80" s="187">
        <v>459.1</v>
      </c>
      <c r="D80" s="54"/>
      <c r="E80" s="187">
        <v>501.1</v>
      </c>
      <c r="F80" s="54"/>
      <c r="G80" s="187">
        <v>441.8</v>
      </c>
      <c r="H80" s="196">
        <v>639.79999999999995</v>
      </c>
      <c r="I80" s="194">
        <v>6</v>
      </c>
      <c r="J80" s="174">
        <f t="shared" si="2"/>
        <v>0.06</v>
      </c>
      <c r="L80" s="54">
        <v>270.69</v>
      </c>
      <c r="M80" s="52">
        <v>550</v>
      </c>
      <c r="N80" s="53">
        <v>3.3999999999999998E-3</v>
      </c>
      <c r="X80" s="54">
        <v>485.61</v>
      </c>
      <c r="Y80" s="52">
        <v>700</v>
      </c>
      <c r="Z80" s="53">
        <v>4.4000000000000003E-3</v>
      </c>
      <c r="AB80" s="187">
        <v>505</v>
      </c>
      <c r="AC80" s="55"/>
      <c r="AD80" s="176">
        <v>7.0000000000000007E-2</v>
      </c>
      <c r="AI80" s="187">
        <v>500.4</v>
      </c>
      <c r="AJ80" s="187">
        <v>313.2</v>
      </c>
      <c r="AK80" s="187">
        <v>458.1</v>
      </c>
      <c r="AL80" s="187">
        <v>622.9</v>
      </c>
      <c r="AM80" s="187">
        <v>731.1</v>
      </c>
      <c r="AN80" s="187">
        <v>437</v>
      </c>
      <c r="AO80" s="187">
        <v>912</v>
      </c>
      <c r="AP80" s="187">
        <v>622.9</v>
      </c>
      <c r="AQ80" s="187">
        <v>500.3</v>
      </c>
      <c r="AR80" s="187">
        <v>639.1</v>
      </c>
      <c r="AS80" s="187">
        <v>440.8</v>
      </c>
      <c r="AT80" s="187">
        <v>546.4</v>
      </c>
      <c r="AU80" s="187">
        <v>469.1</v>
      </c>
      <c r="AV80" s="187">
        <v>548</v>
      </c>
      <c r="AW80" s="196">
        <v>912.5</v>
      </c>
      <c r="AX80" s="174">
        <v>6.3E-2</v>
      </c>
      <c r="AY80" s="187">
        <v>916.4</v>
      </c>
      <c r="AZ80" s="174">
        <v>6.3E-2</v>
      </c>
      <c r="BB80" s="187">
        <v>314.89999999999998</v>
      </c>
      <c r="BC80" s="176">
        <v>7.0000000000000007E-2</v>
      </c>
    </row>
    <row r="81" spans="1:55" ht="17.25" thickBot="1">
      <c r="A81" s="187">
        <v>502</v>
      </c>
      <c r="B81" s="187">
        <v>314.5</v>
      </c>
      <c r="C81" s="187">
        <v>459.9</v>
      </c>
      <c r="D81" s="54"/>
      <c r="E81" s="187">
        <v>502</v>
      </c>
      <c r="F81" s="54"/>
      <c r="G81" s="187">
        <v>442.6</v>
      </c>
      <c r="H81" s="196">
        <v>641.27</v>
      </c>
      <c r="I81" s="194">
        <v>5.7</v>
      </c>
      <c r="J81" s="174">
        <f t="shared" si="2"/>
        <v>5.7000000000000002E-2</v>
      </c>
      <c r="L81" s="56">
        <v>271</v>
      </c>
      <c r="M81" s="61">
        <v>499</v>
      </c>
      <c r="N81" s="62">
        <v>3.0999999999999999E-3</v>
      </c>
      <c r="X81" s="54">
        <v>485.88</v>
      </c>
      <c r="Y81" s="52">
        <v>650</v>
      </c>
      <c r="Z81" s="53">
        <v>4.1000000000000003E-3</v>
      </c>
      <c r="AB81" s="187">
        <v>505.9</v>
      </c>
      <c r="AC81" s="55"/>
      <c r="AD81" s="176">
        <v>6.7000000000000004E-2</v>
      </c>
      <c r="AI81" s="187">
        <v>501.2</v>
      </c>
      <c r="AJ81" s="187">
        <v>313.89999999999998</v>
      </c>
      <c r="AK81" s="187">
        <v>459.1</v>
      </c>
      <c r="AL81" s="187">
        <v>624.20000000000005</v>
      </c>
      <c r="AM81" s="187">
        <v>732.7</v>
      </c>
      <c r="AN81" s="187">
        <v>438</v>
      </c>
      <c r="AO81" s="187">
        <v>914</v>
      </c>
      <c r="AP81" s="187">
        <v>624.29999999999995</v>
      </c>
      <c r="AQ81" s="187">
        <v>501.1</v>
      </c>
      <c r="AR81" s="187">
        <v>640.5</v>
      </c>
      <c r="AS81" s="187">
        <v>441.8</v>
      </c>
      <c r="AT81" s="187">
        <v>547.6</v>
      </c>
      <c r="AU81" s="187">
        <v>469.9</v>
      </c>
      <c r="AV81" s="187">
        <v>549</v>
      </c>
      <c r="AW81" s="196">
        <v>914</v>
      </c>
      <c r="AX81" s="174">
        <v>0.06</v>
      </c>
      <c r="AY81" s="187">
        <v>918.3</v>
      </c>
      <c r="AZ81" s="174">
        <v>0.06</v>
      </c>
      <c r="BB81" s="187">
        <v>315.5</v>
      </c>
      <c r="BC81" s="176">
        <v>6.7000000000000004E-2</v>
      </c>
    </row>
    <row r="82" spans="1:55" ht="17.25" thickBot="1">
      <c r="A82" s="187">
        <v>503.1</v>
      </c>
      <c r="B82" s="187">
        <v>315.2</v>
      </c>
      <c r="C82" s="187">
        <v>460.8</v>
      </c>
      <c r="D82" s="54"/>
      <c r="E82" s="187">
        <v>503</v>
      </c>
      <c r="F82" s="54"/>
      <c r="G82" s="187">
        <v>443.5</v>
      </c>
      <c r="H82" s="196">
        <v>642.66999999999996</v>
      </c>
      <c r="I82" s="194">
        <v>5.3</v>
      </c>
      <c r="J82" s="174">
        <f t="shared" si="2"/>
        <v>5.2999999999999999E-2</v>
      </c>
      <c r="L82" s="54">
        <v>271.56</v>
      </c>
      <c r="M82" s="52">
        <v>449</v>
      </c>
      <c r="N82" s="53">
        <v>2.8E-3</v>
      </c>
      <c r="X82" s="54">
        <v>486.51</v>
      </c>
      <c r="Y82" s="52">
        <v>600</v>
      </c>
      <c r="Z82" s="53">
        <v>3.7000000000000002E-3</v>
      </c>
      <c r="AB82" s="187">
        <v>506.8</v>
      </c>
      <c r="AC82" s="55"/>
      <c r="AD82" s="176">
        <v>6.3E-2</v>
      </c>
      <c r="AI82" s="187">
        <v>502</v>
      </c>
      <c r="AJ82" s="187">
        <v>314.5</v>
      </c>
      <c r="AK82" s="187">
        <v>459.9</v>
      </c>
      <c r="AL82" s="187">
        <v>625.70000000000005</v>
      </c>
      <c r="AM82" s="187">
        <v>734.2</v>
      </c>
      <c r="AN82" s="187">
        <v>439</v>
      </c>
      <c r="AO82" s="187">
        <v>916.2</v>
      </c>
      <c r="AP82" s="187">
        <v>625.70000000000005</v>
      </c>
      <c r="AQ82" s="187">
        <v>502</v>
      </c>
      <c r="AR82" s="187">
        <v>642</v>
      </c>
      <c r="AS82" s="187">
        <v>442.6</v>
      </c>
      <c r="AT82" s="187">
        <v>548.9</v>
      </c>
      <c r="AU82" s="187">
        <v>470.6</v>
      </c>
      <c r="AV82" s="187">
        <v>550.1</v>
      </c>
      <c r="AW82" s="196">
        <v>916.1</v>
      </c>
      <c r="AX82" s="174">
        <v>5.7000000000000002E-2</v>
      </c>
      <c r="AY82" s="187">
        <v>920</v>
      </c>
      <c r="AZ82" s="174">
        <v>5.7000000000000002E-2</v>
      </c>
      <c r="BB82" s="187">
        <v>316.3</v>
      </c>
      <c r="BC82" s="176">
        <v>6.3E-2</v>
      </c>
    </row>
    <row r="83" spans="1:55" ht="17.25" thickBot="1">
      <c r="A83" s="187">
        <v>504.1</v>
      </c>
      <c r="B83" s="187">
        <v>315.7</v>
      </c>
      <c r="C83" s="187">
        <v>461.8</v>
      </c>
      <c r="D83" s="57"/>
      <c r="E83" s="187">
        <v>504</v>
      </c>
      <c r="F83" s="54"/>
      <c r="G83" s="187">
        <v>444.4</v>
      </c>
      <c r="H83" s="196">
        <v>644</v>
      </c>
      <c r="I83" s="194">
        <v>5</v>
      </c>
      <c r="J83" s="174">
        <f t="shared" si="2"/>
        <v>0.05</v>
      </c>
      <c r="L83" s="57">
        <v>271.81</v>
      </c>
      <c r="M83" s="59">
        <v>400</v>
      </c>
      <c r="N83" s="63">
        <v>2.5000000000000001E-3</v>
      </c>
      <c r="X83" s="57">
        <v>487</v>
      </c>
      <c r="Y83" s="59">
        <v>550</v>
      </c>
      <c r="Z83" s="63">
        <v>3.3999999999999998E-3</v>
      </c>
      <c r="AB83" s="187">
        <v>507.7</v>
      </c>
      <c r="AC83" s="55"/>
      <c r="AD83" s="176">
        <v>0.06</v>
      </c>
      <c r="AI83" s="187">
        <v>503.1</v>
      </c>
      <c r="AJ83" s="187">
        <v>315.2</v>
      </c>
      <c r="AK83" s="187">
        <v>460.8</v>
      </c>
      <c r="AL83" s="187">
        <v>626.70000000000005</v>
      </c>
      <c r="AM83" s="187">
        <v>735.6</v>
      </c>
      <c r="AN83" s="187">
        <v>439.8</v>
      </c>
      <c r="AO83" s="187">
        <v>918.1</v>
      </c>
      <c r="AP83" s="187">
        <v>626.9</v>
      </c>
      <c r="AQ83" s="187">
        <v>503</v>
      </c>
      <c r="AR83" s="187">
        <v>643.5</v>
      </c>
      <c r="AS83" s="187">
        <v>443.5</v>
      </c>
      <c r="AT83" s="187">
        <v>550</v>
      </c>
      <c r="AU83" s="187">
        <v>471.4</v>
      </c>
      <c r="AV83" s="187">
        <v>551.20000000000005</v>
      </c>
      <c r="AW83" s="196">
        <v>918.1</v>
      </c>
      <c r="AX83" s="174">
        <v>5.2999999999999999E-2</v>
      </c>
      <c r="AY83" s="187">
        <v>922</v>
      </c>
      <c r="AZ83" s="174">
        <v>5.2999999999999999E-2</v>
      </c>
      <c r="BB83" s="187">
        <v>316.89999999999998</v>
      </c>
      <c r="BC83" s="176">
        <v>0.06</v>
      </c>
    </row>
    <row r="84" spans="1:55" ht="17.25" thickBot="1">
      <c r="A84" s="187">
        <v>505</v>
      </c>
      <c r="B84" s="187">
        <v>316.39999999999998</v>
      </c>
      <c r="C84" s="187">
        <v>462.7</v>
      </c>
      <c r="D84" s="56"/>
      <c r="E84" s="187">
        <v>505</v>
      </c>
      <c r="F84" s="54"/>
      <c r="G84" s="187">
        <v>445.4</v>
      </c>
      <c r="H84" s="196">
        <v>644.9799999999999</v>
      </c>
      <c r="I84" s="194">
        <v>4.7</v>
      </c>
      <c r="J84" s="174">
        <f t="shared" si="2"/>
        <v>4.7E-2</v>
      </c>
      <c r="L84" s="54">
        <v>272.25</v>
      </c>
      <c r="M84" s="52">
        <v>349</v>
      </c>
      <c r="N84" s="53">
        <v>2.2000000000000001E-3</v>
      </c>
      <c r="X84" s="56">
        <v>487.42</v>
      </c>
      <c r="Y84" s="61">
        <v>499</v>
      </c>
      <c r="Z84" s="62">
        <v>3.0999999999999999E-3</v>
      </c>
      <c r="AB84" s="187">
        <v>508.7</v>
      </c>
      <c r="AC84" s="55"/>
      <c r="AD84" s="176">
        <v>5.7000000000000002E-2</v>
      </c>
      <c r="AI84" s="187">
        <v>504.1</v>
      </c>
      <c r="AJ84" s="187">
        <v>315.7</v>
      </c>
      <c r="AK84" s="187">
        <v>461.8</v>
      </c>
      <c r="AL84" s="187">
        <v>627.79999999999995</v>
      </c>
      <c r="AM84" s="187">
        <v>737.2</v>
      </c>
      <c r="AN84" s="187">
        <v>440.8</v>
      </c>
      <c r="AO84" s="187">
        <v>919.9</v>
      </c>
      <c r="AP84" s="187">
        <v>628.1</v>
      </c>
      <c r="AQ84" s="187">
        <v>504</v>
      </c>
      <c r="AR84" s="187">
        <v>644.9</v>
      </c>
      <c r="AS84" s="187">
        <v>444.4</v>
      </c>
      <c r="AT84" s="187">
        <v>551</v>
      </c>
      <c r="AU84" s="187">
        <v>472.1</v>
      </c>
      <c r="AV84" s="187">
        <v>552.29999999999995</v>
      </c>
      <c r="AW84" s="196">
        <v>920</v>
      </c>
      <c r="AX84" s="174">
        <v>0.05</v>
      </c>
      <c r="AY84" s="187">
        <v>923.9</v>
      </c>
      <c r="AZ84" s="174">
        <v>0.05</v>
      </c>
      <c r="BB84" s="187">
        <v>317.5</v>
      </c>
      <c r="BC84" s="176">
        <v>5.7000000000000002E-2</v>
      </c>
    </row>
    <row r="85" spans="1:55" ht="17.25" thickBot="1">
      <c r="A85" s="187">
        <v>506.1</v>
      </c>
      <c r="B85" s="187">
        <v>317.10000000000002</v>
      </c>
      <c r="C85" s="187">
        <v>463.7</v>
      </c>
      <c r="D85" s="54"/>
      <c r="E85" s="187">
        <v>506.1</v>
      </c>
      <c r="F85" s="54"/>
      <c r="G85" s="187">
        <v>446.3</v>
      </c>
      <c r="H85" s="196">
        <v>646.38</v>
      </c>
      <c r="I85" s="194">
        <v>4.5</v>
      </c>
      <c r="J85" s="174">
        <f t="shared" si="2"/>
        <v>4.4999999999999998E-2</v>
      </c>
      <c r="L85" s="56">
        <v>272.44</v>
      </c>
      <c r="M85" s="61">
        <v>299</v>
      </c>
      <c r="N85" s="62">
        <v>1.9E-3</v>
      </c>
      <c r="X85" s="54">
        <v>488.23</v>
      </c>
      <c r="Y85" s="52">
        <v>449</v>
      </c>
      <c r="Z85" s="53">
        <v>2.8E-3</v>
      </c>
      <c r="AB85" s="187">
        <v>509.9</v>
      </c>
      <c r="AC85" s="55"/>
      <c r="AD85" s="176">
        <v>5.2999999999999999E-2</v>
      </c>
      <c r="AI85" s="187">
        <v>505</v>
      </c>
      <c r="AJ85" s="187">
        <v>316.39999999999998</v>
      </c>
      <c r="AK85" s="187">
        <v>462.7</v>
      </c>
      <c r="AL85" s="187">
        <v>629</v>
      </c>
      <c r="AM85" s="187">
        <v>738.6</v>
      </c>
      <c r="AN85" s="187">
        <v>441.5</v>
      </c>
      <c r="AO85" s="187">
        <v>921.8</v>
      </c>
      <c r="AP85" s="187">
        <v>629.29999999999995</v>
      </c>
      <c r="AQ85" s="187">
        <v>505</v>
      </c>
      <c r="AR85" s="187">
        <v>645.9</v>
      </c>
      <c r="AS85" s="187">
        <v>445.4</v>
      </c>
      <c r="AT85" s="187">
        <v>552</v>
      </c>
      <c r="AU85" s="187">
        <v>472.8</v>
      </c>
      <c r="AV85" s="187">
        <v>553.4</v>
      </c>
      <c r="AW85" s="196">
        <v>921.4</v>
      </c>
      <c r="AX85" s="174">
        <v>4.7E-2</v>
      </c>
      <c r="AY85" s="187">
        <v>925.6</v>
      </c>
      <c r="AZ85" s="174">
        <v>4.7E-2</v>
      </c>
      <c r="BB85" s="187">
        <v>318.3</v>
      </c>
      <c r="BC85" s="176">
        <v>5.2999999999999999E-2</v>
      </c>
    </row>
    <row r="86" spans="1:55" ht="17.25" thickBot="1">
      <c r="A86" s="187">
        <v>507.3</v>
      </c>
      <c r="B86" s="187">
        <v>317.8</v>
      </c>
      <c r="C86" s="187">
        <v>464.7</v>
      </c>
      <c r="D86" s="54"/>
      <c r="E86" s="187">
        <v>507.1</v>
      </c>
      <c r="F86" s="54"/>
      <c r="G86" s="187">
        <v>447.2</v>
      </c>
      <c r="H86" s="196">
        <v>647.91999999999996</v>
      </c>
      <c r="I86" s="194">
        <v>4.3</v>
      </c>
      <c r="J86" s="174">
        <f t="shared" si="2"/>
        <v>4.2999999999999997E-2</v>
      </c>
      <c r="L86" s="54">
        <v>273.39999999999998</v>
      </c>
      <c r="M86" s="52">
        <v>249</v>
      </c>
      <c r="N86" s="53">
        <v>1.6000000000000001E-3</v>
      </c>
      <c r="X86" s="54">
        <v>488.6</v>
      </c>
      <c r="Y86" s="52">
        <v>400</v>
      </c>
      <c r="Z86" s="53">
        <v>2.5000000000000001E-3</v>
      </c>
      <c r="AB86" s="187">
        <v>511</v>
      </c>
      <c r="AC86" s="165"/>
      <c r="AD86" s="176">
        <v>0.05</v>
      </c>
      <c r="AI86" s="187">
        <v>506.1</v>
      </c>
      <c r="AJ86" s="187">
        <v>317.10000000000002</v>
      </c>
      <c r="AK86" s="187">
        <v>463.7</v>
      </c>
      <c r="AL86" s="187">
        <v>630.4</v>
      </c>
      <c r="AM86" s="187">
        <v>739.8</v>
      </c>
      <c r="AN86" s="187">
        <v>442.5</v>
      </c>
      <c r="AO86" s="187">
        <v>923.6</v>
      </c>
      <c r="AP86" s="187">
        <v>630.5</v>
      </c>
      <c r="AQ86" s="187">
        <v>506.1</v>
      </c>
      <c r="AR86" s="187">
        <v>647</v>
      </c>
      <c r="AS86" s="187">
        <v>446.3</v>
      </c>
      <c r="AT86" s="187">
        <v>553</v>
      </c>
      <c r="AU86" s="187">
        <v>473.6</v>
      </c>
      <c r="AV86" s="187">
        <v>554.5</v>
      </c>
      <c r="AW86" s="196">
        <v>923.4</v>
      </c>
      <c r="AX86" s="174">
        <v>4.4999999999999998E-2</v>
      </c>
      <c r="AY86" s="187">
        <v>927.7</v>
      </c>
      <c r="AZ86" s="174">
        <v>4.4999999999999998E-2</v>
      </c>
      <c r="BB86" s="187">
        <v>318.89999999999998</v>
      </c>
      <c r="BC86" s="176">
        <v>0.05</v>
      </c>
    </row>
    <row r="87" spans="1:55" ht="17.25" thickBot="1">
      <c r="A87" s="187">
        <v>508.5</v>
      </c>
      <c r="B87" s="187">
        <v>318.3</v>
      </c>
      <c r="C87" s="187">
        <v>465.4</v>
      </c>
      <c r="D87" s="54"/>
      <c r="E87" s="187">
        <v>508.4</v>
      </c>
      <c r="F87" s="54"/>
      <c r="G87" s="187">
        <v>447.9</v>
      </c>
      <c r="H87" s="196">
        <v>649.31999999999994</v>
      </c>
      <c r="I87" s="194">
        <v>4</v>
      </c>
      <c r="J87" s="174">
        <f t="shared" si="2"/>
        <v>0.04</v>
      </c>
      <c r="L87" s="54">
        <v>273.69</v>
      </c>
      <c r="M87" s="52">
        <v>225</v>
      </c>
      <c r="N87" s="53">
        <v>1.4E-3</v>
      </c>
      <c r="X87" s="54">
        <v>489.73</v>
      </c>
      <c r="Y87" s="52">
        <v>349</v>
      </c>
      <c r="Z87" s="53">
        <v>2.2000000000000001E-3</v>
      </c>
      <c r="AB87" s="187">
        <v>512</v>
      </c>
      <c r="AC87" s="55"/>
      <c r="AD87" s="176">
        <v>4.7E-2</v>
      </c>
      <c r="AI87" s="187">
        <v>507.3</v>
      </c>
      <c r="AJ87" s="187">
        <v>317.8</v>
      </c>
      <c r="AK87" s="187">
        <v>464.7</v>
      </c>
      <c r="AL87" s="187">
        <v>631.6</v>
      </c>
      <c r="AM87" s="187">
        <v>741.3</v>
      </c>
      <c r="AN87" s="187">
        <v>443</v>
      </c>
      <c r="AO87" s="187">
        <v>925.2</v>
      </c>
      <c r="AP87" s="187">
        <v>631.70000000000005</v>
      </c>
      <c r="AQ87" s="187">
        <v>507.1</v>
      </c>
      <c r="AR87" s="187">
        <v>648</v>
      </c>
      <c r="AS87" s="187">
        <v>447.2</v>
      </c>
      <c r="AT87" s="187">
        <v>554.1</v>
      </c>
      <c r="AU87" s="187">
        <v>474.6</v>
      </c>
      <c r="AV87" s="187">
        <v>555.6</v>
      </c>
      <c r="AW87" s="196">
        <v>925.6</v>
      </c>
      <c r="AX87" s="174">
        <v>4.2999999999999997E-2</v>
      </c>
      <c r="AY87" s="187">
        <v>929.5</v>
      </c>
      <c r="AZ87" s="174">
        <v>4.2999999999999997E-2</v>
      </c>
      <c r="BB87" s="187">
        <v>319.5</v>
      </c>
      <c r="BC87" s="176">
        <v>4.7E-2</v>
      </c>
    </row>
    <row r="88" spans="1:55" ht="17.25" thickBot="1">
      <c r="A88" s="187">
        <v>509.5</v>
      </c>
      <c r="B88" s="187">
        <v>318.89999999999998</v>
      </c>
      <c r="C88" s="187">
        <v>466.2</v>
      </c>
      <c r="D88" s="56"/>
      <c r="E88" s="187">
        <v>509.7</v>
      </c>
      <c r="F88" s="54"/>
      <c r="G88" s="187">
        <v>448.6</v>
      </c>
      <c r="H88" s="196">
        <v>650.65</v>
      </c>
      <c r="I88" s="194">
        <v>3.8</v>
      </c>
      <c r="J88" s="174">
        <f t="shared" si="2"/>
        <v>3.7999999999999999E-2</v>
      </c>
      <c r="L88" s="54">
        <v>274.13</v>
      </c>
      <c r="M88" s="52">
        <v>200</v>
      </c>
      <c r="N88" s="53">
        <v>1.2999999999999999E-3</v>
      </c>
      <c r="X88" s="56">
        <v>490.5</v>
      </c>
      <c r="Y88" s="61">
        <v>299</v>
      </c>
      <c r="Z88" s="62">
        <v>1.9E-3</v>
      </c>
      <c r="AB88" s="187">
        <v>513.1</v>
      </c>
      <c r="AC88" s="55"/>
      <c r="AD88" s="176">
        <v>4.2999999999999997E-2</v>
      </c>
      <c r="AI88" s="187">
        <v>508.5</v>
      </c>
      <c r="AJ88" s="187">
        <v>318.3</v>
      </c>
      <c r="AK88" s="187">
        <v>465.4</v>
      </c>
      <c r="AL88" s="187">
        <v>633</v>
      </c>
      <c r="AM88" s="187">
        <v>742.9</v>
      </c>
      <c r="AN88" s="187">
        <v>444</v>
      </c>
      <c r="AO88" s="187">
        <v>927</v>
      </c>
      <c r="AP88" s="187">
        <v>633.1</v>
      </c>
      <c r="AQ88" s="187">
        <v>508.4</v>
      </c>
      <c r="AR88" s="187">
        <v>649.29999999999995</v>
      </c>
      <c r="AS88" s="187">
        <v>447.9</v>
      </c>
      <c r="AT88" s="187">
        <v>555.20000000000005</v>
      </c>
      <c r="AU88" s="187">
        <v>475.3</v>
      </c>
      <c r="AV88" s="187">
        <v>556.70000000000005</v>
      </c>
      <c r="AW88" s="196">
        <v>927.6</v>
      </c>
      <c r="AX88" s="174">
        <v>0.04</v>
      </c>
      <c r="AY88" s="187">
        <v>931</v>
      </c>
      <c r="AZ88" s="174">
        <v>0.04</v>
      </c>
      <c r="BB88" s="187">
        <v>320.3</v>
      </c>
      <c r="BC88" s="176">
        <v>4.2999999999999997E-2</v>
      </c>
    </row>
    <row r="89" spans="1:55" ht="17.25" thickBot="1">
      <c r="A89" s="187">
        <v>510.6</v>
      </c>
      <c r="B89" s="187">
        <v>319.5</v>
      </c>
      <c r="C89" s="187">
        <v>467.2</v>
      </c>
      <c r="D89" s="54"/>
      <c r="E89" s="187">
        <v>510.8</v>
      </c>
      <c r="F89" s="54"/>
      <c r="G89" s="187">
        <v>449.6</v>
      </c>
      <c r="H89" s="196">
        <v>652.12</v>
      </c>
      <c r="I89" s="194">
        <v>3.6</v>
      </c>
      <c r="J89" s="174">
        <f t="shared" si="2"/>
        <v>3.6000000000000004E-2</v>
      </c>
      <c r="L89" s="54">
        <v>274.25</v>
      </c>
      <c r="M89" s="52">
        <v>175</v>
      </c>
      <c r="N89" s="53">
        <v>1.1000000000000001E-3</v>
      </c>
      <c r="X89" s="54">
        <v>491.31</v>
      </c>
      <c r="Y89" s="52">
        <v>249</v>
      </c>
      <c r="Z89" s="53">
        <v>1.6000000000000001E-3</v>
      </c>
      <c r="AB89" s="187">
        <v>514</v>
      </c>
      <c r="AC89" s="55"/>
      <c r="AD89" s="176">
        <v>0.04</v>
      </c>
      <c r="AI89" s="187">
        <v>509.5</v>
      </c>
      <c r="AJ89" s="187">
        <v>318.89999999999998</v>
      </c>
      <c r="AK89" s="187">
        <v>466.2</v>
      </c>
      <c r="AL89" s="187">
        <v>634.4</v>
      </c>
      <c r="AM89" s="187">
        <v>744.5</v>
      </c>
      <c r="AN89" s="187">
        <v>445</v>
      </c>
      <c r="AO89" s="187">
        <v>929</v>
      </c>
      <c r="AP89" s="187">
        <v>634.5</v>
      </c>
      <c r="AQ89" s="187">
        <v>509.7</v>
      </c>
      <c r="AR89" s="187">
        <v>650.6</v>
      </c>
      <c r="AS89" s="187">
        <v>448.6</v>
      </c>
      <c r="AT89" s="187">
        <v>556.29999999999995</v>
      </c>
      <c r="AU89" s="187">
        <v>476</v>
      </c>
      <c r="AV89" s="187">
        <v>557.79999999999995</v>
      </c>
      <c r="AW89" s="196">
        <v>929.5</v>
      </c>
      <c r="AX89" s="174">
        <v>3.7999999999999999E-2</v>
      </c>
      <c r="AY89" s="187">
        <v>932.6</v>
      </c>
      <c r="AZ89" s="174">
        <v>3.7999999999999999E-2</v>
      </c>
      <c r="BB89" s="187">
        <v>320.89999999999998</v>
      </c>
      <c r="BC89" s="176">
        <v>0.04</v>
      </c>
    </row>
    <row r="90" spans="1:55" ht="17.25" thickBot="1">
      <c r="A90" s="187">
        <v>511.6</v>
      </c>
      <c r="B90" s="187">
        <v>320</v>
      </c>
      <c r="C90" s="187">
        <v>468</v>
      </c>
      <c r="D90" s="54"/>
      <c r="E90" s="187">
        <v>511.8</v>
      </c>
      <c r="F90" s="54"/>
      <c r="G90" s="187">
        <v>450.4</v>
      </c>
      <c r="H90" s="196">
        <v>653.52</v>
      </c>
      <c r="I90" s="194">
        <v>3.4</v>
      </c>
      <c r="J90" s="174">
        <f t="shared" si="2"/>
        <v>3.4000000000000002E-2</v>
      </c>
      <c r="L90" s="56">
        <v>274.81</v>
      </c>
      <c r="M90" s="61">
        <v>150</v>
      </c>
      <c r="N90" s="62">
        <v>8.9999999999999998E-4</v>
      </c>
      <c r="X90" s="54">
        <v>491.76</v>
      </c>
      <c r="Y90" s="52">
        <v>225</v>
      </c>
      <c r="Z90" s="53">
        <v>1.4E-3</v>
      </c>
      <c r="AB90" s="187">
        <v>515</v>
      </c>
      <c r="AC90" s="55"/>
      <c r="AD90" s="176">
        <v>3.7000000000000005E-2</v>
      </c>
      <c r="AI90" s="187">
        <v>510.6</v>
      </c>
      <c r="AJ90" s="187">
        <v>319.5</v>
      </c>
      <c r="AK90" s="187">
        <v>467.2</v>
      </c>
      <c r="AL90" s="187">
        <v>635.9</v>
      </c>
      <c r="AM90" s="187">
        <v>746.3</v>
      </c>
      <c r="AN90" s="187">
        <v>446</v>
      </c>
      <c r="AO90" s="187">
        <v>931</v>
      </c>
      <c r="AP90" s="187">
        <v>635.9</v>
      </c>
      <c r="AQ90" s="187">
        <v>510.8</v>
      </c>
      <c r="AR90" s="187">
        <v>651.9</v>
      </c>
      <c r="AS90" s="187">
        <v>449.6</v>
      </c>
      <c r="AT90" s="187">
        <v>557.4</v>
      </c>
      <c r="AU90" s="187">
        <v>477</v>
      </c>
      <c r="AV90" s="187">
        <v>558.9</v>
      </c>
      <c r="AW90" s="196">
        <v>931.6</v>
      </c>
      <c r="AX90" s="174">
        <v>3.6000000000000004E-2</v>
      </c>
      <c r="AY90" s="187">
        <v>934.4</v>
      </c>
      <c r="AZ90" s="174">
        <v>3.6000000000000004E-2</v>
      </c>
      <c r="BB90" s="187">
        <v>321.39999999999998</v>
      </c>
      <c r="BC90" s="176">
        <v>3.7000000000000005E-2</v>
      </c>
    </row>
    <row r="91" spans="1:55" ht="17.25" thickBot="1">
      <c r="A91" s="187">
        <v>512.5</v>
      </c>
      <c r="B91" s="187">
        <v>320.60000000000002</v>
      </c>
      <c r="C91" s="187">
        <v>468.8</v>
      </c>
      <c r="D91" s="57"/>
      <c r="E91" s="187">
        <v>512.6</v>
      </c>
      <c r="F91" s="54"/>
      <c r="G91" s="187">
        <v>451.1</v>
      </c>
      <c r="H91" s="196">
        <v>654.64</v>
      </c>
      <c r="I91" s="194">
        <v>3.2</v>
      </c>
      <c r="J91" s="174">
        <f t="shared" si="2"/>
        <v>3.2000000000000001E-2</v>
      </c>
      <c r="L91" s="57">
        <v>275</v>
      </c>
      <c r="M91" s="59">
        <v>60</v>
      </c>
      <c r="N91" s="63">
        <v>4.0000000000000002E-4</v>
      </c>
      <c r="X91" s="57">
        <v>492.13</v>
      </c>
      <c r="Y91" s="59">
        <v>200</v>
      </c>
      <c r="Z91" s="63">
        <v>1.2999999999999999E-3</v>
      </c>
      <c r="AB91" s="187">
        <v>516.20000000000005</v>
      </c>
      <c r="AC91" s="55"/>
      <c r="AD91" s="176">
        <v>3.5000000000000003E-2</v>
      </c>
      <c r="AI91" s="187">
        <v>511.6</v>
      </c>
      <c r="AJ91" s="187">
        <v>320</v>
      </c>
      <c r="AK91" s="187">
        <v>468</v>
      </c>
      <c r="AL91" s="187">
        <v>637.29999999999995</v>
      </c>
      <c r="AM91" s="187">
        <v>747.8</v>
      </c>
      <c r="AN91" s="187">
        <v>447</v>
      </c>
      <c r="AO91" s="187">
        <v>933</v>
      </c>
      <c r="AP91" s="187">
        <v>637.29999999999995</v>
      </c>
      <c r="AQ91" s="187">
        <v>511.8</v>
      </c>
      <c r="AR91" s="187">
        <v>653.20000000000005</v>
      </c>
      <c r="AS91" s="187">
        <v>450.4</v>
      </c>
      <c r="AT91" s="187">
        <v>558.5</v>
      </c>
      <c r="AU91" s="187">
        <v>478</v>
      </c>
      <c r="AV91" s="187">
        <v>560</v>
      </c>
      <c r="AW91" s="196">
        <v>933.6</v>
      </c>
      <c r="AX91" s="174">
        <v>3.4000000000000002E-2</v>
      </c>
      <c r="AY91" s="187">
        <v>936.4</v>
      </c>
      <c r="AZ91" s="174">
        <v>3.4000000000000002E-2</v>
      </c>
      <c r="BB91" s="187">
        <v>322.10000000000002</v>
      </c>
      <c r="BC91" s="176">
        <v>3.5000000000000003E-2</v>
      </c>
    </row>
    <row r="92" spans="1:55" ht="17.25" thickBot="1">
      <c r="A92" s="187">
        <v>513.6</v>
      </c>
      <c r="B92" s="187">
        <v>321.10000000000002</v>
      </c>
      <c r="C92" s="187">
        <v>469.5</v>
      </c>
      <c r="D92" s="54"/>
      <c r="E92" s="187">
        <v>513.29999999999995</v>
      </c>
      <c r="F92" s="54"/>
      <c r="G92" s="187">
        <v>452</v>
      </c>
      <c r="H92" s="196">
        <v>655.75999999999988</v>
      </c>
      <c r="I92" s="194">
        <v>3</v>
      </c>
      <c r="J92" s="174">
        <f t="shared" si="2"/>
        <v>0.03</v>
      </c>
      <c r="L92" s="54">
        <v>276.13</v>
      </c>
      <c r="M92" s="52">
        <v>45</v>
      </c>
      <c r="N92" s="53">
        <v>2.9999999999999997E-4</v>
      </c>
      <c r="X92" s="54">
        <v>492.58</v>
      </c>
      <c r="Y92" s="52">
        <v>175</v>
      </c>
      <c r="Z92" s="53">
        <v>1.1000000000000001E-3</v>
      </c>
      <c r="AB92" s="187">
        <v>517.20000000000005</v>
      </c>
      <c r="AC92" s="55"/>
      <c r="AD92" s="176">
        <v>3.3000000000000002E-2</v>
      </c>
      <c r="AI92" s="187">
        <v>512.5</v>
      </c>
      <c r="AJ92" s="187">
        <v>320.60000000000002</v>
      </c>
      <c r="AK92" s="187">
        <v>468.8</v>
      </c>
      <c r="AL92" s="187">
        <v>638.6</v>
      </c>
      <c r="AM92" s="187">
        <v>748.9</v>
      </c>
      <c r="AN92" s="187">
        <v>448</v>
      </c>
      <c r="AO92" s="187">
        <v>935</v>
      </c>
      <c r="AP92" s="187">
        <v>638.9</v>
      </c>
      <c r="AQ92" s="187">
        <v>512.6</v>
      </c>
      <c r="AR92" s="187">
        <v>654.29999999999995</v>
      </c>
      <c r="AS92" s="187">
        <v>451.1</v>
      </c>
      <c r="AT92" s="187">
        <v>559.6</v>
      </c>
      <c r="AU92" s="187">
        <v>479</v>
      </c>
      <c r="AV92" s="187">
        <v>561.1</v>
      </c>
      <c r="AW92" s="196">
        <v>935.2</v>
      </c>
      <c r="AX92" s="174">
        <v>3.2000000000000001E-2</v>
      </c>
      <c r="AY92" s="187">
        <v>937.9</v>
      </c>
      <c r="AZ92" s="174">
        <v>3.2000000000000001E-2</v>
      </c>
      <c r="BB92" s="187">
        <v>322.89999999999998</v>
      </c>
      <c r="BC92" s="176">
        <v>3.3000000000000002E-2</v>
      </c>
    </row>
    <row r="93" spans="1:55" ht="17.25" thickBot="1">
      <c r="A93" s="187">
        <v>514.6</v>
      </c>
      <c r="B93" s="187">
        <v>321.8</v>
      </c>
      <c r="C93" s="187">
        <v>470.5</v>
      </c>
      <c r="D93" s="56"/>
      <c r="E93" s="187">
        <v>514.20000000000005</v>
      </c>
      <c r="F93" s="54"/>
      <c r="G93" s="187">
        <v>453</v>
      </c>
      <c r="H93" s="196">
        <v>657.3</v>
      </c>
      <c r="I93" s="194">
        <v>2.8</v>
      </c>
      <c r="J93" s="174">
        <f t="shared" si="2"/>
        <v>2.7999999999999997E-2</v>
      </c>
      <c r="L93" s="54">
        <v>277.25</v>
      </c>
      <c r="M93" s="52">
        <v>15</v>
      </c>
      <c r="N93" s="53">
        <v>1E-4</v>
      </c>
      <c r="X93" s="56">
        <v>492.85</v>
      </c>
      <c r="Y93" s="61">
        <v>150</v>
      </c>
      <c r="Z93" s="62">
        <v>8.9999999999999998E-4</v>
      </c>
      <c r="AB93" s="187">
        <v>518.1</v>
      </c>
      <c r="AC93" s="55"/>
      <c r="AD93" s="176">
        <v>0.03</v>
      </c>
      <c r="AI93" s="187">
        <v>513.6</v>
      </c>
      <c r="AJ93" s="187">
        <v>321.10000000000002</v>
      </c>
      <c r="AK93" s="187">
        <v>469.5</v>
      </c>
      <c r="AL93" s="187">
        <v>639.79999999999995</v>
      </c>
      <c r="AM93" s="187">
        <v>750</v>
      </c>
      <c r="AN93" s="187">
        <v>448.5</v>
      </c>
      <c r="AO93" s="187">
        <v>937</v>
      </c>
      <c r="AP93" s="187">
        <v>640.29999999999995</v>
      </c>
      <c r="AQ93" s="187">
        <v>513.29999999999995</v>
      </c>
      <c r="AR93" s="187">
        <v>655.8</v>
      </c>
      <c r="AS93" s="187">
        <v>452</v>
      </c>
      <c r="AT93" s="187">
        <v>560.70000000000005</v>
      </c>
      <c r="AU93" s="187">
        <v>479.8</v>
      </c>
      <c r="AV93" s="187">
        <v>562.20000000000005</v>
      </c>
      <c r="AW93" s="196">
        <v>936.8</v>
      </c>
      <c r="AX93" s="174">
        <v>0.03</v>
      </c>
      <c r="AY93" s="187">
        <v>939.5</v>
      </c>
      <c r="AZ93" s="174">
        <v>0.03</v>
      </c>
      <c r="BB93" s="187">
        <v>323.5</v>
      </c>
      <c r="BC93" s="176">
        <v>0.03</v>
      </c>
    </row>
    <row r="94" spans="1:55" ht="17.25" thickBot="1">
      <c r="A94" s="187">
        <v>515.4</v>
      </c>
      <c r="B94" s="187">
        <v>322.5</v>
      </c>
      <c r="C94" s="187">
        <v>471.3</v>
      </c>
      <c r="D94" s="54"/>
      <c r="E94" s="187">
        <v>515.1</v>
      </c>
      <c r="F94" s="54"/>
      <c r="G94" s="187">
        <v>454</v>
      </c>
      <c r="H94" s="196">
        <v>658.84</v>
      </c>
      <c r="I94" s="194">
        <v>2.6</v>
      </c>
      <c r="J94" s="174">
        <f t="shared" si="2"/>
        <v>2.6000000000000002E-2</v>
      </c>
      <c r="X94" s="54">
        <v>492.94</v>
      </c>
      <c r="Y94" s="52">
        <v>135</v>
      </c>
      <c r="Z94" s="53">
        <v>8.0000000000000004E-4</v>
      </c>
      <c r="AB94" s="187">
        <v>519.29999999999995</v>
      </c>
      <c r="AC94" s="165"/>
      <c r="AD94" s="176">
        <v>2.7000000000000003E-2</v>
      </c>
      <c r="AI94" s="187">
        <v>514.6</v>
      </c>
      <c r="AJ94" s="187">
        <v>321.8</v>
      </c>
      <c r="AK94" s="187">
        <v>470.5</v>
      </c>
      <c r="AL94" s="187">
        <v>641</v>
      </c>
      <c r="AM94" s="187">
        <v>751.6</v>
      </c>
      <c r="AN94" s="187">
        <v>449.5</v>
      </c>
      <c r="AO94" s="187">
        <v>939</v>
      </c>
      <c r="AP94" s="187">
        <v>641.70000000000005</v>
      </c>
      <c r="AQ94" s="187">
        <v>514.20000000000005</v>
      </c>
      <c r="AR94" s="187">
        <v>657</v>
      </c>
      <c r="AS94" s="187">
        <v>453</v>
      </c>
      <c r="AT94" s="187">
        <v>561.79999999999995</v>
      </c>
      <c r="AU94" s="187">
        <v>480.8</v>
      </c>
      <c r="AV94" s="187">
        <v>563.29999999999995</v>
      </c>
      <c r="AW94" s="196">
        <v>939</v>
      </c>
      <c r="AX94" s="174">
        <v>2.7999999999999997E-2</v>
      </c>
      <c r="AY94" s="187">
        <v>941.4</v>
      </c>
      <c r="AZ94" s="174">
        <v>2.7999999999999997E-2</v>
      </c>
      <c r="BB94" s="187">
        <v>324.10000000000002</v>
      </c>
      <c r="BC94" s="176">
        <v>2.7000000000000003E-2</v>
      </c>
    </row>
    <row r="95" spans="1:55" ht="17.25" thickBot="1">
      <c r="A95" s="187">
        <v>516.29999999999995</v>
      </c>
      <c r="B95" s="187">
        <v>323.2</v>
      </c>
      <c r="C95" s="187">
        <v>472.5</v>
      </c>
      <c r="D95" s="54"/>
      <c r="E95" s="187">
        <v>516.29999999999995</v>
      </c>
      <c r="F95" s="54"/>
      <c r="G95" s="187">
        <v>455</v>
      </c>
      <c r="H95" s="196">
        <v>660.44999999999993</v>
      </c>
      <c r="I95" s="194">
        <v>2.5</v>
      </c>
      <c r="J95" s="174">
        <f t="shared" si="2"/>
        <v>2.5000000000000001E-2</v>
      </c>
      <c r="X95" s="54">
        <v>493.57</v>
      </c>
      <c r="Y95" s="52">
        <v>120</v>
      </c>
      <c r="Z95" s="53">
        <v>6.9999999999999999E-4</v>
      </c>
      <c r="AB95" s="187">
        <v>520.5</v>
      </c>
      <c r="AC95" s="55"/>
      <c r="AD95" s="176">
        <v>2.5000000000000001E-2</v>
      </c>
      <c r="AI95" s="187">
        <v>515.4</v>
      </c>
      <c r="AJ95" s="187">
        <v>322.5</v>
      </c>
      <c r="AK95" s="187">
        <v>471.3</v>
      </c>
      <c r="AL95" s="187">
        <v>642.5</v>
      </c>
      <c r="AM95" s="187">
        <v>753.1</v>
      </c>
      <c r="AN95" s="187">
        <v>450.5</v>
      </c>
      <c r="AO95" s="187">
        <v>941</v>
      </c>
      <c r="AP95" s="187">
        <v>643.1</v>
      </c>
      <c r="AQ95" s="187">
        <v>515.1</v>
      </c>
      <c r="AR95" s="187">
        <v>658.1</v>
      </c>
      <c r="AS95" s="187">
        <v>454</v>
      </c>
      <c r="AT95" s="187">
        <v>562.9</v>
      </c>
      <c r="AU95" s="187">
        <v>481.5</v>
      </c>
      <c r="AV95" s="187">
        <v>564.4</v>
      </c>
      <c r="AW95" s="196">
        <v>941.2</v>
      </c>
      <c r="AX95" s="174">
        <v>2.6000000000000002E-2</v>
      </c>
      <c r="AY95" s="187">
        <v>943.3</v>
      </c>
      <c r="AZ95" s="174">
        <v>2.6000000000000002E-2</v>
      </c>
      <c r="BB95" s="187">
        <v>324.8</v>
      </c>
      <c r="BC95" s="176">
        <v>2.5000000000000001E-2</v>
      </c>
    </row>
    <row r="96" spans="1:55" ht="17.25" thickBot="1">
      <c r="A96" s="187">
        <v>517.4</v>
      </c>
      <c r="B96" s="187">
        <v>324</v>
      </c>
      <c r="C96" s="187">
        <v>473.7</v>
      </c>
      <c r="D96" s="54"/>
      <c r="E96" s="187">
        <v>517.6</v>
      </c>
      <c r="F96" s="54"/>
      <c r="G96" s="187">
        <v>456</v>
      </c>
      <c r="H96" s="196">
        <v>662.06</v>
      </c>
      <c r="I96" s="194">
        <v>2.4</v>
      </c>
      <c r="J96" s="174">
        <f t="shared" si="2"/>
        <v>2.4E-2</v>
      </c>
      <c r="X96" s="54">
        <v>494.3</v>
      </c>
      <c r="Y96" s="52">
        <v>105</v>
      </c>
      <c r="Z96" s="53">
        <v>6.9999999999999999E-4</v>
      </c>
      <c r="AB96" s="187">
        <v>521.5</v>
      </c>
      <c r="AC96" s="55"/>
      <c r="AD96" s="176">
        <v>2.3E-2</v>
      </c>
      <c r="AI96" s="187">
        <v>516.29999999999995</v>
      </c>
      <c r="AJ96" s="187">
        <v>323.2</v>
      </c>
      <c r="AK96" s="187">
        <v>472.5</v>
      </c>
      <c r="AL96" s="187">
        <v>643.5</v>
      </c>
      <c r="AM96" s="187">
        <v>754.6</v>
      </c>
      <c r="AN96" s="187">
        <v>451.5</v>
      </c>
      <c r="AO96" s="187">
        <v>943</v>
      </c>
      <c r="AP96" s="187">
        <v>644.5</v>
      </c>
      <c r="AQ96" s="187">
        <v>516.29999999999995</v>
      </c>
      <c r="AR96" s="187">
        <v>659.6</v>
      </c>
      <c r="AS96" s="187">
        <v>455</v>
      </c>
      <c r="AT96" s="187">
        <v>564</v>
      </c>
      <c r="AU96" s="187">
        <v>482.2</v>
      </c>
      <c r="AV96" s="187">
        <v>565.5</v>
      </c>
      <c r="AW96" s="196">
        <v>943.5</v>
      </c>
      <c r="AX96" s="174">
        <v>2.5000000000000001E-2</v>
      </c>
      <c r="AY96" s="187">
        <v>945.3</v>
      </c>
      <c r="AZ96" s="174">
        <v>2.5000000000000001E-2</v>
      </c>
      <c r="BB96" s="187">
        <v>325.5</v>
      </c>
      <c r="BC96" s="176">
        <v>2.3E-2</v>
      </c>
    </row>
    <row r="97" spans="1:55" ht="17.25" thickBot="1">
      <c r="A97" s="187">
        <v>518.6</v>
      </c>
      <c r="B97" s="187">
        <v>324.7</v>
      </c>
      <c r="C97" s="187">
        <v>474.8</v>
      </c>
      <c r="D97" s="54"/>
      <c r="E97" s="187">
        <v>518.9</v>
      </c>
      <c r="F97" s="54"/>
      <c r="G97" s="187">
        <v>456.9</v>
      </c>
      <c r="H97" s="196">
        <v>663.59999999999991</v>
      </c>
      <c r="I97" s="194">
        <v>2.2000000000000002</v>
      </c>
      <c r="J97" s="174">
        <f t="shared" si="2"/>
        <v>2.2000000000000002E-2</v>
      </c>
      <c r="X97" s="54">
        <v>494.57</v>
      </c>
      <c r="Y97" s="52">
        <v>90</v>
      </c>
      <c r="Z97" s="53">
        <v>5.9999999999999995E-4</v>
      </c>
      <c r="AB97" s="187">
        <v>522.6</v>
      </c>
      <c r="AC97" s="55"/>
      <c r="AD97" s="176">
        <v>0.02</v>
      </c>
      <c r="AI97" s="187">
        <v>517.4</v>
      </c>
      <c r="AJ97" s="187">
        <v>324</v>
      </c>
      <c r="AK97" s="187">
        <v>473.7</v>
      </c>
      <c r="AL97" s="187">
        <v>644.5</v>
      </c>
      <c r="AM97" s="187">
        <v>756.5</v>
      </c>
      <c r="AN97" s="187">
        <v>452.5</v>
      </c>
      <c r="AO97" s="187">
        <v>945.5</v>
      </c>
      <c r="AP97" s="187">
        <v>645.9</v>
      </c>
      <c r="AQ97" s="187">
        <v>517.6</v>
      </c>
      <c r="AR97" s="187">
        <v>661</v>
      </c>
      <c r="AS97" s="187">
        <v>456</v>
      </c>
      <c r="AT97" s="187">
        <v>565.4</v>
      </c>
      <c r="AU97" s="187">
        <v>482.9</v>
      </c>
      <c r="AV97" s="187">
        <v>566.6</v>
      </c>
      <c r="AW97" s="196">
        <v>945.8</v>
      </c>
      <c r="AX97" s="174">
        <v>2.4E-2</v>
      </c>
      <c r="AY97" s="187">
        <v>947.5</v>
      </c>
      <c r="AZ97" s="174">
        <v>2.4E-2</v>
      </c>
      <c r="BB97" s="187">
        <v>326.10000000000002</v>
      </c>
      <c r="BC97" s="176">
        <v>0.02</v>
      </c>
    </row>
    <row r="98" spans="1:55" ht="17.25" thickBot="1">
      <c r="A98" s="187">
        <v>519.79999999999995</v>
      </c>
      <c r="B98" s="187">
        <v>325.39999999999998</v>
      </c>
      <c r="C98" s="187">
        <v>475.7</v>
      </c>
      <c r="D98" s="54"/>
      <c r="E98" s="187">
        <v>520.20000000000005</v>
      </c>
      <c r="F98" s="54"/>
      <c r="G98" s="187">
        <v>457.9</v>
      </c>
      <c r="H98" s="196">
        <v>665.14</v>
      </c>
      <c r="I98" s="194">
        <v>2</v>
      </c>
      <c r="J98" s="174">
        <f t="shared" ref="J98:J127" si="3">I98/100</f>
        <v>0.02</v>
      </c>
      <c r="X98" s="54">
        <v>495.29</v>
      </c>
      <c r="Y98" s="52">
        <v>75</v>
      </c>
      <c r="Z98" s="53">
        <v>5.0000000000000001E-4</v>
      </c>
      <c r="AB98" s="187">
        <v>523.4</v>
      </c>
      <c r="AC98" s="55"/>
      <c r="AD98" s="176">
        <v>1.8000000000000002E-2</v>
      </c>
      <c r="AI98" s="187">
        <v>518.6</v>
      </c>
      <c r="AJ98" s="187">
        <v>324.7</v>
      </c>
      <c r="AK98" s="187">
        <v>474.8</v>
      </c>
      <c r="AL98" s="187">
        <v>646</v>
      </c>
      <c r="AM98" s="187">
        <v>758.3</v>
      </c>
      <c r="AN98" s="187">
        <v>453.5</v>
      </c>
      <c r="AO98" s="187">
        <v>948</v>
      </c>
      <c r="AP98" s="187">
        <v>647.29999999999995</v>
      </c>
      <c r="AQ98" s="187">
        <v>518.9</v>
      </c>
      <c r="AR98" s="187">
        <v>662.4</v>
      </c>
      <c r="AS98" s="187">
        <v>456.9</v>
      </c>
      <c r="AT98" s="187">
        <v>566.70000000000005</v>
      </c>
      <c r="AU98" s="187">
        <v>483.7</v>
      </c>
      <c r="AV98" s="187">
        <v>567.70000000000005</v>
      </c>
      <c r="AW98" s="196">
        <v>948</v>
      </c>
      <c r="AX98" s="174">
        <v>2.2000000000000002E-2</v>
      </c>
      <c r="AY98" s="187">
        <v>949.8</v>
      </c>
      <c r="AZ98" s="174">
        <v>2.2000000000000002E-2</v>
      </c>
      <c r="BB98" s="187">
        <v>326.7</v>
      </c>
      <c r="BC98" s="176">
        <v>1.8000000000000002E-2</v>
      </c>
    </row>
    <row r="99" spans="1:55" ht="17.25" thickBot="1">
      <c r="A99" s="187">
        <v>521</v>
      </c>
      <c r="B99" s="187">
        <v>326.10000000000002</v>
      </c>
      <c r="C99" s="187">
        <v>476.5</v>
      </c>
      <c r="D99" s="57"/>
      <c r="E99" s="187">
        <v>521.29999999999995</v>
      </c>
      <c r="F99" s="54"/>
      <c r="G99" s="187">
        <v>458.7</v>
      </c>
      <c r="H99" s="196">
        <v>666.54</v>
      </c>
      <c r="I99" s="194">
        <v>1.8</v>
      </c>
      <c r="J99" s="174">
        <f t="shared" si="3"/>
        <v>1.8000000000000002E-2</v>
      </c>
      <c r="X99" s="57">
        <v>495.66</v>
      </c>
      <c r="Y99" s="59">
        <v>60</v>
      </c>
      <c r="Z99" s="63">
        <v>4.0000000000000002E-4</v>
      </c>
      <c r="AB99" s="187">
        <v>524.20000000000005</v>
      </c>
      <c r="AC99" s="55"/>
      <c r="AD99" s="176">
        <v>1.6E-2</v>
      </c>
      <c r="AI99" s="187">
        <v>519.79999999999995</v>
      </c>
      <c r="AJ99" s="187">
        <v>325.39999999999998</v>
      </c>
      <c r="AK99" s="187">
        <v>475.7</v>
      </c>
      <c r="AL99" s="187">
        <v>647.5</v>
      </c>
      <c r="AM99" s="187">
        <v>760.1</v>
      </c>
      <c r="AN99" s="187">
        <v>454.7</v>
      </c>
      <c r="AO99" s="187">
        <v>950</v>
      </c>
      <c r="AP99" s="187">
        <v>648.70000000000005</v>
      </c>
      <c r="AQ99" s="187">
        <v>520.20000000000005</v>
      </c>
      <c r="AR99" s="187">
        <v>663.8</v>
      </c>
      <c r="AS99" s="187">
        <v>457.9</v>
      </c>
      <c r="AT99" s="187">
        <v>568.1</v>
      </c>
      <c r="AU99" s="187">
        <v>484.6</v>
      </c>
      <c r="AV99" s="187">
        <v>568.79999999999995</v>
      </c>
      <c r="AW99" s="196">
        <v>950.2</v>
      </c>
      <c r="AX99" s="174">
        <v>0.02</v>
      </c>
      <c r="AY99" s="187">
        <v>951.6</v>
      </c>
      <c r="AZ99" s="174">
        <v>0.02</v>
      </c>
      <c r="BB99" s="187">
        <v>327.39999999999998</v>
      </c>
      <c r="BC99" s="176">
        <v>1.6E-2</v>
      </c>
    </row>
    <row r="100" spans="1:55" ht="17.25" thickBot="1">
      <c r="A100" s="187">
        <v>522</v>
      </c>
      <c r="B100" s="187">
        <v>326.7</v>
      </c>
      <c r="C100" s="187">
        <v>477.3</v>
      </c>
      <c r="D100" s="54"/>
      <c r="E100" s="187">
        <v>522.29999999999995</v>
      </c>
      <c r="F100" s="54"/>
      <c r="G100" s="187">
        <v>459.4</v>
      </c>
      <c r="H100" s="196">
        <v>667.66</v>
      </c>
      <c r="I100" s="194">
        <v>1.6</v>
      </c>
      <c r="J100" s="174">
        <f t="shared" si="3"/>
        <v>1.6E-2</v>
      </c>
      <c r="X100" s="54">
        <v>496.47</v>
      </c>
      <c r="Y100" s="52">
        <v>45</v>
      </c>
      <c r="Z100" s="53">
        <v>2.9999999999999997E-4</v>
      </c>
      <c r="AB100" s="187">
        <v>525.1</v>
      </c>
      <c r="AC100" s="55"/>
      <c r="AD100" s="176">
        <v>1.3999999999999999E-2</v>
      </c>
      <c r="AI100" s="187">
        <v>521</v>
      </c>
      <c r="AJ100" s="187">
        <v>326.10000000000002</v>
      </c>
      <c r="AK100" s="187">
        <v>476.5</v>
      </c>
      <c r="AL100" s="187">
        <v>649</v>
      </c>
      <c r="AM100" s="187">
        <v>761.8</v>
      </c>
      <c r="AN100" s="187">
        <v>456</v>
      </c>
      <c r="AO100" s="187">
        <v>952</v>
      </c>
      <c r="AP100" s="187">
        <v>650.1</v>
      </c>
      <c r="AQ100" s="187">
        <v>521.29999999999995</v>
      </c>
      <c r="AR100" s="187">
        <v>665.2</v>
      </c>
      <c r="AS100" s="187">
        <v>458.7</v>
      </c>
      <c r="AT100" s="187">
        <v>569.4</v>
      </c>
      <c r="AU100" s="187">
        <v>485.6</v>
      </c>
      <c r="AV100" s="187">
        <v>569.9</v>
      </c>
      <c r="AW100" s="196">
        <v>952.2</v>
      </c>
      <c r="AX100" s="174">
        <v>1.8000000000000002E-2</v>
      </c>
      <c r="AY100" s="187">
        <v>953.3</v>
      </c>
      <c r="AZ100" s="174">
        <v>1.8000000000000002E-2</v>
      </c>
      <c r="BB100" s="187">
        <v>328.1</v>
      </c>
      <c r="BC100" s="176">
        <v>1.3999999999999999E-2</v>
      </c>
    </row>
    <row r="101" spans="1:55" ht="17.25" thickBot="1">
      <c r="A101" s="187">
        <v>523</v>
      </c>
      <c r="B101" s="187">
        <v>327.2</v>
      </c>
      <c r="C101" s="187">
        <v>478.2</v>
      </c>
      <c r="D101" s="54"/>
      <c r="E101" s="187">
        <v>523.29999999999995</v>
      </c>
      <c r="F101" s="54"/>
      <c r="G101" s="187">
        <v>460.2</v>
      </c>
      <c r="H101" s="196">
        <v>669.06</v>
      </c>
      <c r="I101" s="194">
        <v>1.5</v>
      </c>
      <c r="J101" s="174">
        <f t="shared" si="3"/>
        <v>1.4999999999999999E-2</v>
      </c>
      <c r="X101" s="54">
        <v>497.83</v>
      </c>
      <c r="Y101" s="52">
        <v>15</v>
      </c>
      <c r="Z101" s="53">
        <v>1E-4</v>
      </c>
      <c r="AB101" s="187">
        <v>526.20000000000005</v>
      </c>
      <c r="AC101" s="55"/>
      <c r="AD101" s="176">
        <v>1.2E-2</v>
      </c>
      <c r="AI101" s="187">
        <v>522</v>
      </c>
      <c r="AJ101" s="187">
        <v>326.7</v>
      </c>
      <c r="AK101" s="187">
        <v>477.3</v>
      </c>
      <c r="AL101" s="187">
        <v>650.5</v>
      </c>
      <c r="AM101" s="187">
        <v>763.5</v>
      </c>
      <c r="AN101" s="187">
        <v>457</v>
      </c>
      <c r="AO101" s="187">
        <v>954</v>
      </c>
      <c r="AP101" s="187">
        <v>651.5</v>
      </c>
      <c r="AQ101" s="187">
        <v>522.29999999999995</v>
      </c>
      <c r="AR101" s="187">
        <v>666.6</v>
      </c>
      <c r="AS101" s="187">
        <v>459.4</v>
      </c>
      <c r="AT101" s="187">
        <v>570.70000000000005</v>
      </c>
      <c r="AU101" s="187">
        <v>486.6</v>
      </c>
      <c r="AV101" s="187">
        <v>571</v>
      </c>
      <c r="AW101" s="196">
        <v>953.8</v>
      </c>
      <c r="AX101" s="174">
        <v>1.6E-2</v>
      </c>
      <c r="AY101" s="187">
        <v>954.8</v>
      </c>
      <c r="AZ101" s="174">
        <v>1.6E-2</v>
      </c>
      <c r="BB101" s="187">
        <v>328.8</v>
      </c>
      <c r="BC101" s="176">
        <v>1.2E-2</v>
      </c>
    </row>
    <row r="102" spans="1:55" ht="17.25" thickBot="1">
      <c r="A102" s="187">
        <v>523.6</v>
      </c>
      <c r="B102" s="187">
        <v>327.8</v>
      </c>
      <c r="C102" s="187">
        <v>479.2</v>
      </c>
      <c r="D102" s="54"/>
      <c r="E102" s="187">
        <v>524.29999999999995</v>
      </c>
      <c r="F102" s="54"/>
      <c r="G102" s="187">
        <v>461</v>
      </c>
      <c r="H102" s="196">
        <v>670.45999999999992</v>
      </c>
      <c r="I102" s="194">
        <v>1.4</v>
      </c>
      <c r="J102" s="174">
        <f t="shared" si="3"/>
        <v>1.3999999999999999E-2</v>
      </c>
      <c r="X102" s="25"/>
      <c r="Y102" s="25"/>
      <c r="Z102" s="25"/>
      <c r="AB102" s="187">
        <v>527.29999999999995</v>
      </c>
      <c r="AC102" s="55"/>
      <c r="AD102" s="176">
        <v>0.01</v>
      </c>
      <c r="AI102" s="187">
        <v>523</v>
      </c>
      <c r="AJ102" s="187">
        <v>327.2</v>
      </c>
      <c r="AK102" s="187">
        <v>478.2</v>
      </c>
      <c r="AL102" s="187">
        <v>652</v>
      </c>
      <c r="AM102" s="187">
        <v>765.3</v>
      </c>
      <c r="AN102" s="187">
        <v>458</v>
      </c>
      <c r="AO102" s="187">
        <v>956</v>
      </c>
      <c r="AP102" s="187">
        <v>652.79999999999995</v>
      </c>
      <c r="AQ102" s="187">
        <v>523.29999999999995</v>
      </c>
      <c r="AR102" s="187">
        <v>668</v>
      </c>
      <c r="AS102" s="187">
        <v>460.2</v>
      </c>
      <c r="AT102" s="187">
        <v>571.9</v>
      </c>
      <c r="AU102" s="187">
        <v>487.4</v>
      </c>
      <c r="AV102" s="187">
        <v>572</v>
      </c>
      <c r="AW102" s="196">
        <v>955.8</v>
      </c>
      <c r="AX102" s="174">
        <v>1.4999999999999999E-2</v>
      </c>
      <c r="AY102" s="187">
        <v>956.8</v>
      </c>
      <c r="AZ102" s="174">
        <v>1.4999999999999999E-2</v>
      </c>
      <c r="BB102" s="187">
        <v>329.5</v>
      </c>
      <c r="BC102" s="176">
        <v>0.01</v>
      </c>
    </row>
    <row r="103" spans="1:55" ht="17.25" thickBot="1">
      <c r="A103" s="187">
        <v>524.29999999999995</v>
      </c>
      <c r="B103" s="187">
        <v>328.3</v>
      </c>
      <c r="C103" s="187">
        <v>480</v>
      </c>
      <c r="D103" s="198"/>
      <c r="E103" s="187">
        <v>524.9</v>
      </c>
      <c r="F103" s="54"/>
      <c r="G103" s="187">
        <v>461.7</v>
      </c>
      <c r="H103" s="196">
        <v>671.65</v>
      </c>
      <c r="I103" s="194">
        <v>1.2</v>
      </c>
      <c r="J103" s="174">
        <f t="shared" si="3"/>
        <v>1.2E-2</v>
      </c>
      <c r="AB103" s="187">
        <v>528.4</v>
      </c>
      <c r="AC103" s="173"/>
      <c r="AD103" s="176">
        <v>8.0000000000000002E-3</v>
      </c>
      <c r="AI103" s="187">
        <v>523.6</v>
      </c>
      <c r="AJ103" s="187">
        <v>327.8</v>
      </c>
      <c r="AK103" s="187">
        <v>479.2</v>
      </c>
      <c r="AL103" s="187">
        <v>653.29999999999995</v>
      </c>
      <c r="AM103" s="187">
        <v>767</v>
      </c>
      <c r="AN103" s="187">
        <v>458.7</v>
      </c>
      <c r="AO103" s="187">
        <v>958</v>
      </c>
      <c r="AP103" s="187">
        <v>654</v>
      </c>
      <c r="AQ103" s="187">
        <v>524.29999999999995</v>
      </c>
      <c r="AR103" s="187">
        <v>669.4</v>
      </c>
      <c r="AS103" s="187">
        <v>461</v>
      </c>
      <c r="AT103" s="187">
        <v>573</v>
      </c>
      <c r="AU103" s="187">
        <v>488.2</v>
      </c>
      <c r="AV103" s="187">
        <v>573</v>
      </c>
      <c r="AW103" s="196">
        <v>957.8</v>
      </c>
      <c r="AX103" s="174">
        <v>1.3999999999999999E-2</v>
      </c>
      <c r="AY103" s="187">
        <v>958.5</v>
      </c>
      <c r="AZ103" s="174">
        <v>1.3999999999999999E-2</v>
      </c>
      <c r="BB103" s="187">
        <v>330.2</v>
      </c>
      <c r="BC103" s="176">
        <v>8.0000000000000002E-3</v>
      </c>
    </row>
    <row r="104" spans="1:55" ht="17.25" thickBot="1">
      <c r="A104" s="187">
        <v>525.20000000000005</v>
      </c>
      <c r="B104" s="187">
        <v>328.8</v>
      </c>
      <c r="C104" s="187">
        <v>480.9</v>
      </c>
      <c r="D104" s="198"/>
      <c r="E104" s="187">
        <v>525.6</v>
      </c>
      <c r="F104" s="54"/>
      <c r="G104" s="187">
        <v>462.4</v>
      </c>
      <c r="H104" s="196">
        <v>672.69999999999993</v>
      </c>
      <c r="I104" s="194">
        <v>1</v>
      </c>
      <c r="J104" s="174">
        <f t="shared" si="3"/>
        <v>0.01</v>
      </c>
      <c r="AB104" s="187">
        <v>529.4</v>
      </c>
      <c r="AC104" s="172"/>
      <c r="AD104" s="176">
        <v>6.0000000000000001E-3</v>
      </c>
      <c r="AI104" s="187">
        <v>524.29999999999995</v>
      </c>
      <c r="AJ104" s="187">
        <v>328.3</v>
      </c>
      <c r="AK104" s="187">
        <v>480</v>
      </c>
      <c r="AL104" s="187">
        <v>654.4</v>
      </c>
      <c r="AM104" s="187">
        <v>768</v>
      </c>
      <c r="AN104" s="187">
        <v>459.4</v>
      </c>
      <c r="AO104" s="187">
        <v>959</v>
      </c>
      <c r="AP104" s="187">
        <v>655.29999999999995</v>
      </c>
      <c r="AQ104" s="187">
        <v>524.9</v>
      </c>
      <c r="AR104" s="187">
        <v>670.8</v>
      </c>
      <c r="AS104" s="187">
        <v>461.7</v>
      </c>
      <c r="AT104" s="187">
        <v>574</v>
      </c>
      <c r="AU104" s="187">
        <v>489</v>
      </c>
      <c r="AV104" s="187">
        <v>574</v>
      </c>
      <c r="AW104" s="196">
        <v>959.5</v>
      </c>
      <c r="AX104" s="174">
        <v>1.2E-2</v>
      </c>
      <c r="AY104" s="187">
        <v>960</v>
      </c>
      <c r="AZ104" s="174">
        <v>1.2E-2</v>
      </c>
      <c r="BB104" s="187">
        <v>330.9</v>
      </c>
      <c r="BC104" s="176">
        <v>6.0000000000000001E-3</v>
      </c>
    </row>
    <row r="105" spans="1:55" ht="17.25" thickBot="1">
      <c r="A105" s="187">
        <v>526</v>
      </c>
      <c r="B105" s="187">
        <v>329.3</v>
      </c>
      <c r="C105" s="187">
        <v>481.9</v>
      </c>
      <c r="D105" s="198"/>
      <c r="E105" s="187">
        <v>526.70000000000005</v>
      </c>
      <c r="F105" s="54"/>
      <c r="G105" s="187">
        <v>463.2</v>
      </c>
      <c r="H105" s="196">
        <v>673.89</v>
      </c>
      <c r="I105" s="194">
        <v>0.8</v>
      </c>
      <c r="J105" s="174">
        <f t="shared" si="3"/>
        <v>8.0000000000000002E-3</v>
      </c>
      <c r="AB105" s="187">
        <v>530.4</v>
      </c>
      <c r="AC105" s="172"/>
      <c r="AD105" s="176">
        <v>5.0000000000000001E-3</v>
      </c>
      <c r="AI105" s="187">
        <v>525.20000000000005</v>
      </c>
      <c r="AJ105" s="187">
        <v>328.8</v>
      </c>
      <c r="AK105" s="187">
        <v>480.9</v>
      </c>
      <c r="AL105" s="187">
        <v>655.4</v>
      </c>
      <c r="AM105" s="187">
        <v>769</v>
      </c>
      <c r="AN105" s="187">
        <v>460.1</v>
      </c>
      <c r="AO105" s="187">
        <v>961</v>
      </c>
      <c r="AP105" s="187">
        <v>656.2</v>
      </c>
      <c r="AQ105" s="187">
        <v>525.6</v>
      </c>
      <c r="AR105" s="187">
        <v>672.2</v>
      </c>
      <c r="AS105" s="187">
        <v>462.4</v>
      </c>
      <c r="AT105" s="187">
        <v>575</v>
      </c>
      <c r="AU105" s="187">
        <v>489.6</v>
      </c>
      <c r="AV105" s="187">
        <v>575</v>
      </c>
      <c r="AW105" s="196">
        <v>961</v>
      </c>
      <c r="AX105" s="174">
        <v>0.01</v>
      </c>
      <c r="AY105" s="187">
        <v>961.5</v>
      </c>
      <c r="AZ105" s="174">
        <v>0.01</v>
      </c>
      <c r="BB105" s="187">
        <v>331.6</v>
      </c>
      <c r="BC105" s="176">
        <v>5.0000000000000001E-3</v>
      </c>
    </row>
    <row r="106" spans="1:55" ht="17.25" thickBot="1">
      <c r="A106" s="187">
        <v>527.1</v>
      </c>
      <c r="B106" s="187">
        <v>329.9</v>
      </c>
      <c r="C106" s="187">
        <v>483</v>
      </c>
      <c r="D106" s="198"/>
      <c r="E106" s="187">
        <v>527.70000000000005</v>
      </c>
      <c r="F106" s="54"/>
      <c r="G106" s="187">
        <v>464.3</v>
      </c>
      <c r="H106" s="196">
        <v>675.29</v>
      </c>
      <c r="I106" s="194">
        <v>0.7</v>
      </c>
      <c r="J106" s="174">
        <f t="shared" si="3"/>
        <v>6.9999999999999993E-3</v>
      </c>
      <c r="AB106" s="187">
        <v>531.5</v>
      </c>
      <c r="AC106" s="172"/>
      <c r="AD106" s="176">
        <v>4.0000000000000001E-3</v>
      </c>
      <c r="AI106" s="187">
        <v>526</v>
      </c>
      <c r="AJ106" s="187">
        <v>329.3</v>
      </c>
      <c r="AK106" s="187">
        <v>481.9</v>
      </c>
      <c r="AL106" s="187">
        <v>656.5</v>
      </c>
      <c r="AM106" s="187">
        <v>770</v>
      </c>
      <c r="AN106" s="187">
        <v>460.8</v>
      </c>
      <c r="AO106" s="187">
        <v>963</v>
      </c>
      <c r="AP106" s="187">
        <v>657.5</v>
      </c>
      <c r="AQ106" s="187">
        <v>526.70000000000005</v>
      </c>
      <c r="AR106" s="187">
        <v>673.5</v>
      </c>
      <c r="AS106" s="187">
        <v>463.2</v>
      </c>
      <c r="AT106" s="187">
        <v>576</v>
      </c>
      <c r="AU106" s="187">
        <v>490.2</v>
      </c>
      <c r="AV106" s="187">
        <v>576</v>
      </c>
      <c r="AW106" s="196">
        <v>962.7</v>
      </c>
      <c r="AX106" s="174">
        <v>8.0000000000000002E-3</v>
      </c>
      <c r="AY106" s="187">
        <v>963</v>
      </c>
      <c r="AZ106" s="174">
        <v>8.0000000000000002E-3</v>
      </c>
      <c r="BB106" s="187">
        <v>332.3</v>
      </c>
      <c r="BC106" s="176">
        <v>4.0000000000000001E-3</v>
      </c>
    </row>
    <row r="107" spans="1:55" ht="17.25" thickBot="1">
      <c r="A107" s="187">
        <v>528.29999999999995</v>
      </c>
      <c r="B107" s="187">
        <v>330.5</v>
      </c>
      <c r="C107" s="187">
        <v>484</v>
      </c>
      <c r="D107" s="198"/>
      <c r="E107" s="187">
        <v>528.6</v>
      </c>
      <c r="F107" s="54"/>
      <c r="G107" s="187">
        <v>465.5</v>
      </c>
      <c r="H107" s="196">
        <v>676.82999999999993</v>
      </c>
      <c r="I107" s="194">
        <v>0.6</v>
      </c>
      <c r="J107" s="174">
        <f t="shared" si="3"/>
        <v>6.0000000000000001E-3</v>
      </c>
      <c r="AB107" s="187">
        <v>532.5</v>
      </c>
      <c r="AC107" s="172"/>
      <c r="AD107" s="176">
        <v>3.0000000000000001E-3</v>
      </c>
      <c r="AI107" s="187">
        <v>527.1</v>
      </c>
      <c r="AJ107" s="187">
        <v>329.9</v>
      </c>
      <c r="AK107" s="187">
        <v>483</v>
      </c>
      <c r="AL107" s="187">
        <v>657.7</v>
      </c>
      <c r="AM107" s="187">
        <v>771.5</v>
      </c>
      <c r="AN107" s="187">
        <v>461.5</v>
      </c>
      <c r="AO107" s="187">
        <v>965</v>
      </c>
      <c r="AP107" s="187">
        <v>658.5</v>
      </c>
      <c r="AQ107" s="187">
        <v>527.70000000000005</v>
      </c>
      <c r="AR107" s="187">
        <v>674.5</v>
      </c>
      <c r="AS107" s="187">
        <v>464.3</v>
      </c>
      <c r="AT107" s="187">
        <v>577</v>
      </c>
      <c r="AU107" s="187">
        <v>491</v>
      </c>
      <c r="AV107" s="187">
        <v>577</v>
      </c>
      <c r="AW107" s="196">
        <v>964.7</v>
      </c>
      <c r="AX107" s="174">
        <v>6.9999999999999993E-3</v>
      </c>
      <c r="AY107" s="187">
        <v>964.5</v>
      </c>
      <c r="AZ107" s="174">
        <v>6.9999999999999993E-3</v>
      </c>
      <c r="BB107" s="187">
        <v>333</v>
      </c>
      <c r="BC107" s="176">
        <v>3.0000000000000001E-3</v>
      </c>
    </row>
    <row r="108" spans="1:55" ht="17.25" thickBot="1">
      <c r="A108" s="187">
        <v>529.29999999999995</v>
      </c>
      <c r="B108" s="187">
        <v>331.3</v>
      </c>
      <c r="C108" s="187">
        <v>484.9</v>
      </c>
      <c r="D108" s="198"/>
      <c r="E108" s="187">
        <v>529.6</v>
      </c>
      <c r="F108" s="54"/>
      <c r="G108" s="187">
        <v>466.7</v>
      </c>
      <c r="H108" s="196">
        <v>678.50999999999988</v>
      </c>
      <c r="I108" s="194">
        <v>0.5</v>
      </c>
      <c r="J108" s="174">
        <f t="shared" si="3"/>
        <v>5.0000000000000001E-3</v>
      </c>
      <c r="AB108" s="187">
        <v>533.5</v>
      </c>
      <c r="AC108" s="172"/>
      <c r="AD108" s="176">
        <v>2.7000000000000001E-3</v>
      </c>
      <c r="AI108" s="187">
        <v>528.29999999999995</v>
      </c>
      <c r="AJ108" s="187">
        <v>330.5</v>
      </c>
      <c r="AK108" s="187">
        <v>484</v>
      </c>
      <c r="AL108" s="187">
        <v>659</v>
      </c>
      <c r="AM108" s="187">
        <v>773</v>
      </c>
      <c r="AN108" s="187">
        <v>462.2</v>
      </c>
      <c r="AO108" s="187">
        <v>967</v>
      </c>
      <c r="AP108" s="187">
        <v>660</v>
      </c>
      <c r="AQ108" s="187">
        <v>528.6</v>
      </c>
      <c r="AR108" s="187">
        <v>675.5</v>
      </c>
      <c r="AS108" s="187">
        <v>465.5</v>
      </c>
      <c r="AT108" s="187">
        <v>578</v>
      </c>
      <c r="AU108" s="187">
        <v>491.8</v>
      </c>
      <c r="AV108" s="187">
        <v>578</v>
      </c>
      <c r="AW108" s="196">
        <v>966.9</v>
      </c>
      <c r="AX108" s="174">
        <v>6.0000000000000001E-3</v>
      </c>
      <c r="AY108" s="187">
        <v>967</v>
      </c>
      <c r="AZ108" s="174">
        <v>6.0000000000000001E-3</v>
      </c>
      <c r="BB108" s="187">
        <v>333.7</v>
      </c>
      <c r="BC108" s="176">
        <v>2.7000000000000001E-3</v>
      </c>
    </row>
    <row r="109" spans="1:55" ht="17.25" thickBot="1">
      <c r="A109" s="187">
        <v>530.20000000000005</v>
      </c>
      <c r="B109" s="187">
        <v>332</v>
      </c>
      <c r="C109" s="187">
        <v>485.9</v>
      </c>
      <c r="D109" s="198"/>
      <c r="E109" s="187">
        <v>530.70000000000005</v>
      </c>
      <c r="F109" s="54"/>
      <c r="G109" s="187">
        <v>467.8</v>
      </c>
      <c r="H109" s="196">
        <v>679.9799999999999</v>
      </c>
      <c r="I109" s="194">
        <v>0.4</v>
      </c>
      <c r="J109" s="174">
        <f t="shared" si="3"/>
        <v>4.0000000000000001E-3</v>
      </c>
      <c r="AB109" s="187">
        <v>534.70000000000005</v>
      </c>
      <c r="AC109" s="172"/>
      <c r="AD109" s="176">
        <v>2.3E-3</v>
      </c>
      <c r="AI109" s="187">
        <v>529.29999999999995</v>
      </c>
      <c r="AJ109" s="187">
        <v>331.3</v>
      </c>
      <c r="AK109" s="187">
        <v>484.9</v>
      </c>
      <c r="AL109" s="187">
        <v>660.5</v>
      </c>
      <c r="AM109" s="187">
        <v>774</v>
      </c>
      <c r="AN109" s="187">
        <v>463</v>
      </c>
      <c r="AO109" s="187">
        <v>969</v>
      </c>
      <c r="AP109" s="187">
        <v>661</v>
      </c>
      <c r="AQ109" s="187">
        <v>529.6</v>
      </c>
      <c r="AR109" s="187">
        <v>677</v>
      </c>
      <c r="AS109" s="187">
        <v>466.7</v>
      </c>
      <c r="AT109" s="187">
        <v>579</v>
      </c>
      <c r="AU109" s="187">
        <v>492.6</v>
      </c>
      <c r="AV109" s="187">
        <v>579</v>
      </c>
      <c r="AW109" s="196">
        <v>969.3</v>
      </c>
      <c r="AX109" s="174">
        <v>5.0000000000000001E-3</v>
      </c>
      <c r="AY109" s="187">
        <v>969.5</v>
      </c>
      <c r="AZ109" s="174">
        <v>5.0000000000000001E-3</v>
      </c>
      <c r="BB109" s="187">
        <v>334.4</v>
      </c>
      <c r="BC109" s="176">
        <v>2.3E-3</v>
      </c>
    </row>
    <row r="110" spans="1:55" ht="17.25" thickBot="1">
      <c r="A110" s="187">
        <v>531.20000000000005</v>
      </c>
      <c r="B110" s="187">
        <v>332.7</v>
      </c>
      <c r="C110" s="187">
        <v>487</v>
      </c>
      <c r="D110" s="198"/>
      <c r="E110" s="187">
        <v>532</v>
      </c>
      <c r="F110" s="54"/>
      <c r="G110" s="187">
        <v>468.8</v>
      </c>
      <c r="H110" s="196">
        <v>681.44999999999993</v>
      </c>
      <c r="I110" s="194">
        <v>0.3</v>
      </c>
      <c r="J110" s="174">
        <f t="shared" si="3"/>
        <v>3.0000000000000001E-3</v>
      </c>
      <c r="AB110" s="187">
        <v>535.79999999999995</v>
      </c>
      <c r="AC110" s="172"/>
      <c r="AD110" s="176">
        <v>2E-3</v>
      </c>
      <c r="AI110" s="187">
        <v>530.20000000000005</v>
      </c>
      <c r="AJ110" s="187">
        <v>332</v>
      </c>
      <c r="AK110" s="187">
        <v>485.9</v>
      </c>
      <c r="AL110" s="187">
        <v>662</v>
      </c>
      <c r="AM110" s="187">
        <v>775.7</v>
      </c>
      <c r="AN110" s="187">
        <v>464</v>
      </c>
      <c r="AO110" s="187">
        <v>971</v>
      </c>
      <c r="AP110" s="187">
        <v>662</v>
      </c>
      <c r="AQ110" s="187">
        <v>530.70000000000005</v>
      </c>
      <c r="AR110" s="187">
        <v>678.5</v>
      </c>
      <c r="AS110" s="187">
        <v>467.8</v>
      </c>
      <c r="AT110" s="187">
        <v>580.5</v>
      </c>
      <c r="AU110" s="187">
        <v>493.3</v>
      </c>
      <c r="AV110" s="187">
        <v>580</v>
      </c>
      <c r="AW110" s="196">
        <v>971.4</v>
      </c>
      <c r="AX110" s="174">
        <v>4.0000000000000001E-3</v>
      </c>
      <c r="AY110" s="187">
        <v>972</v>
      </c>
      <c r="AZ110" s="174">
        <v>4.0000000000000001E-3</v>
      </c>
      <c r="BB110" s="187">
        <v>335.1</v>
      </c>
      <c r="BC110" s="176">
        <v>2E-3</v>
      </c>
    </row>
    <row r="111" spans="1:55" ht="17.25" thickBot="1">
      <c r="A111" s="187">
        <v>532.29999999999995</v>
      </c>
      <c r="B111" s="187">
        <v>333.4</v>
      </c>
      <c r="C111" s="187">
        <v>488.1</v>
      </c>
      <c r="D111" s="198"/>
      <c r="E111" s="187">
        <v>533.29999999999995</v>
      </c>
      <c r="F111" s="54"/>
      <c r="G111" s="187">
        <v>470</v>
      </c>
      <c r="H111" s="196">
        <v>682.84999999999991</v>
      </c>
      <c r="I111" s="194">
        <v>0.25</v>
      </c>
      <c r="J111" s="174">
        <f t="shared" si="3"/>
        <v>2.5000000000000001E-3</v>
      </c>
      <c r="AB111" s="187">
        <v>537</v>
      </c>
      <c r="AC111" s="173"/>
      <c r="AD111" s="176">
        <v>1.6000000000000001E-3</v>
      </c>
      <c r="AI111" s="187">
        <v>531.20000000000005</v>
      </c>
      <c r="AJ111" s="187">
        <v>332.7</v>
      </c>
      <c r="AK111" s="187">
        <v>487</v>
      </c>
      <c r="AL111" s="187">
        <v>663.5</v>
      </c>
      <c r="AM111" s="187">
        <v>778</v>
      </c>
      <c r="AN111" s="187">
        <v>465</v>
      </c>
      <c r="AO111" s="187">
        <v>973.5</v>
      </c>
      <c r="AP111" s="187">
        <v>663.5</v>
      </c>
      <c r="AQ111" s="187">
        <v>532</v>
      </c>
      <c r="AR111" s="187">
        <v>680</v>
      </c>
      <c r="AS111" s="187">
        <v>468.8</v>
      </c>
      <c r="AT111" s="187">
        <v>581.79999999999995</v>
      </c>
      <c r="AU111" s="187">
        <v>494</v>
      </c>
      <c r="AV111" s="187">
        <v>581</v>
      </c>
      <c r="AW111" s="196">
        <v>973.5</v>
      </c>
      <c r="AX111" s="174">
        <v>3.0000000000000001E-3</v>
      </c>
      <c r="AY111" s="187">
        <v>974.5</v>
      </c>
      <c r="AZ111" s="174">
        <v>3.0000000000000001E-3</v>
      </c>
      <c r="BB111" s="187">
        <v>335.7</v>
      </c>
      <c r="BC111" s="176">
        <v>1.6000000000000001E-3</v>
      </c>
    </row>
    <row r="112" spans="1:55" ht="17.25" thickBot="1">
      <c r="A112" s="187">
        <v>533.4</v>
      </c>
      <c r="B112" s="187">
        <v>334.2</v>
      </c>
      <c r="C112" s="187">
        <v>489.2</v>
      </c>
      <c r="D112" s="198"/>
      <c r="E112" s="187">
        <v>534.6</v>
      </c>
      <c r="F112" s="54"/>
      <c r="G112" s="187">
        <v>471</v>
      </c>
      <c r="H112" s="196">
        <v>684.25</v>
      </c>
      <c r="I112" s="194">
        <v>0.2</v>
      </c>
      <c r="J112" s="174">
        <f t="shared" si="3"/>
        <v>2E-3</v>
      </c>
      <c r="AB112" s="187">
        <v>538.20000000000005</v>
      </c>
      <c r="AC112" s="172"/>
      <c r="AD112" s="176">
        <v>1.2999999999999999E-3</v>
      </c>
      <c r="AI112" s="187">
        <v>532.29999999999995</v>
      </c>
      <c r="AJ112" s="187">
        <v>333.4</v>
      </c>
      <c r="AK112" s="187">
        <v>488.1</v>
      </c>
      <c r="AL112" s="187">
        <v>665</v>
      </c>
      <c r="AM112" s="187">
        <v>780</v>
      </c>
      <c r="AN112" s="187">
        <v>466</v>
      </c>
      <c r="AO112" s="187">
        <v>976</v>
      </c>
      <c r="AP112" s="187">
        <v>665</v>
      </c>
      <c r="AQ112" s="187">
        <v>533.29999999999995</v>
      </c>
      <c r="AR112" s="187">
        <v>681.5</v>
      </c>
      <c r="AS112" s="187">
        <v>470</v>
      </c>
      <c r="AT112" s="187">
        <v>583</v>
      </c>
      <c r="AU112" s="187">
        <v>494.7</v>
      </c>
      <c r="AV112" s="187">
        <v>582</v>
      </c>
      <c r="AW112" s="196">
        <v>975.5</v>
      </c>
      <c r="AX112" s="174">
        <v>2.5000000000000001E-3</v>
      </c>
      <c r="AY112" s="187">
        <v>976.5</v>
      </c>
      <c r="AZ112" s="174">
        <v>2.5000000000000001E-3</v>
      </c>
      <c r="BB112" s="187">
        <v>336.3</v>
      </c>
      <c r="BC112" s="176">
        <v>1.2999999999999999E-3</v>
      </c>
    </row>
    <row r="113" spans="1:55" ht="17.25" thickBot="1">
      <c r="A113" s="187">
        <v>534.5</v>
      </c>
      <c r="B113" s="187">
        <v>334.9</v>
      </c>
      <c r="C113" s="187">
        <v>490.3</v>
      </c>
      <c r="D113" s="198"/>
      <c r="E113" s="187">
        <v>535.79999999999995</v>
      </c>
      <c r="F113" s="54"/>
      <c r="G113" s="187">
        <v>472</v>
      </c>
      <c r="H113" s="196">
        <v>685.65</v>
      </c>
      <c r="I113" s="194">
        <v>0.15</v>
      </c>
      <c r="J113" s="174">
        <f t="shared" si="3"/>
        <v>1.5E-3</v>
      </c>
      <c r="AB113" s="187">
        <v>539.29999999999995</v>
      </c>
      <c r="AC113" s="172"/>
      <c r="AD113" s="176">
        <v>1E-3</v>
      </c>
      <c r="AI113" s="187">
        <v>533.4</v>
      </c>
      <c r="AJ113" s="187">
        <v>334.2</v>
      </c>
      <c r="AK113" s="187">
        <v>489.2</v>
      </c>
      <c r="AL113" s="187">
        <v>666.5</v>
      </c>
      <c r="AM113" s="187">
        <v>781.5</v>
      </c>
      <c r="AN113" s="187">
        <v>467</v>
      </c>
      <c r="AO113" s="187">
        <v>978</v>
      </c>
      <c r="AP113" s="187">
        <v>666.2</v>
      </c>
      <c r="AQ113" s="187">
        <v>534.6</v>
      </c>
      <c r="AR113" s="187">
        <v>683</v>
      </c>
      <c r="AS113" s="187">
        <v>471</v>
      </c>
      <c r="AT113" s="187">
        <v>584.20000000000005</v>
      </c>
      <c r="AU113" s="187">
        <v>495.4</v>
      </c>
      <c r="AV113" s="187">
        <v>583</v>
      </c>
      <c r="AW113" s="196">
        <v>977.5</v>
      </c>
      <c r="AX113" s="174">
        <v>2E-3</v>
      </c>
      <c r="AY113" s="187">
        <v>978</v>
      </c>
      <c r="AZ113" s="174">
        <v>2E-3</v>
      </c>
      <c r="BB113" s="187">
        <v>336.9</v>
      </c>
      <c r="BC113" s="176">
        <v>1E-3</v>
      </c>
    </row>
    <row r="114" spans="1:55" ht="17.25" thickBot="1">
      <c r="A114" s="187">
        <v>535.70000000000005</v>
      </c>
      <c r="B114" s="187">
        <v>335.5</v>
      </c>
      <c r="C114" s="187">
        <v>491.4</v>
      </c>
      <c r="D114" s="198"/>
      <c r="E114" s="187">
        <v>536.79999999999995</v>
      </c>
      <c r="F114" s="54"/>
      <c r="G114" s="187">
        <v>472.7</v>
      </c>
      <c r="H114" s="196">
        <v>687.05</v>
      </c>
      <c r="I114" s="194">
        <v>0.1</v>
      </c>
      <c r="J114" s="174">
        <f t="shared" si="3"/>
        <v>1E-3</v>
      </c>
      <c r="AB114" s="187">
        <v>540.1</v>
      </c>
      <c r="AC114" s="172"/>
      <c r="AD114" s="176">
        <v>7.000000000000001E-4</v>
      </c>
      <c r="AI114" s="187">
        <v>534.5</v>
      </c>
      <c r="AJ114" s="187">
        <v>334.9</v>
      </c>
      <c r="AK114" s="187">
        <v>490.3</v>
      </c>
      <c r="AL114" s="187">
        <v>668</v>
      </c>
      <c r="AM114" s="187">
        <v>783</v>
      </c>
      <c r="AN114" s="187">
        <v>468.5</v>
      </c>
      <c r="AO114" s="187">
        <v>980.5</v>
      </c>
      <c r="AP114" s="187">
        <v>667.6</v>
      </c>
      <c r="AQ114" s="187">
        <v>535.79999999999995</v>
      </c>
      <c r="AR114" s="187">
        <v>684.5</v>
      </c>
      <c r="AS114" s="187">
        <v>472</v>
      </c>
      <c r="AT114" s="187">
        <v>585.5</v>
      </c>
      <c r="AU114" s="187">
        <v>496</v>
      </c>
      <c r="AV114" s="187">
        <v>584</v>
      </c>
      <c r="AW114" s="196">
        <v>979.5</v>
      </c>
      <c r="AX114" s="174">
        <v>1.5E-3</v>
      </c>
      <c r="AY114" s="187">
        <v>980</v>
      </c>
      <c r="AZ114" s="174">
        <v>1.5E-3</v>
      </c>
      <c r="BB114" s="187">
        <v>337.5</v>
      </c>
      <c r="BC114" s="176">
        <v>7.000000000000001E-4</v>
      </c>
    </row>
    <row r="115" spans="1:55" ht="17.25" thickBot="1">
      <c r="A115" s="187">
        <v>536.9</v>
      </c>
      <c r="B115" s="187">
        <v>336</v>
      </c>
      <c r="C115" s="187">
        <v>492.2</v>
      </c>
      <c r="D115" s="198"/>
      <c r="E115" s="187">
        <v>537.70000000000005</v>
      </c>
      <c r="F115" s="54"/>
      <c r="G115" s="187">
        <v>473.3</v>
      </c>
      <c r="H115" s="196">
        <v>688.24</v>
      </c>
      <c r="I115" s="194">
        <v>0.08</v>
      </c>
      <c r="J115" s="174">
        <f t="shared" si="3"/>
        <v>8.0000000000000004E-4</v>
      </c>
      <c r="AB115" s="187">
        <v>540.79999999999995</v>
      </c>
      <c r="AC115" s="172"/>
      <c r="AD115" s="176">
        <v>5.0000000000000001E-4</v>
      </c>
      <c r="AI115" s="187">
        <v>535.70000000000005</v>
      </c>
      <c r="AJ115" s="187">
        <v>335.5</v>
      </c>
      <c r="AK115" s="187">
        <v>491.4</v>
      </c>
      <c r="AL115" s="187">
        <v>670</v>
      </c>
      <c r="AM115" s="187">
        <v>785</v>
      </c>
      <c r="AN115" s="187">
        <v>470</v>
      </c>
      <c r="AO115" s="187">
        <v>983</v>
      </c>
      <c r="AP115" s="187">
        <v>669</v>
      </c>
      <c r="AQ115" s="187">
        <v>536.79999999999995</v>
      </c>
      <c r="AR115" s="187">
        <v>686.5</v>
      </c>
      <c r="AS115" s="187">
        <v>472.7</v>
      </c>
      <c r="AT115" s="187">
        <v>587</v>
      </c>
      <c r="AU115" s="187">
        <v>497</v>
      </c>
      <c r="AV115" s="187">
        <v>585</v>
      </c>
      <c r="AW115" s="196">
        <v>981.5</v>
      </c>
      <c r="AX115" s="174">
        <v>1E-3</v>
      </c>
      <c r="AY115" s="187">
        <v>982</v>
      </c>
      <c r="AZ115" s="174">
        <v>1E-3</v>
      </c>
      <c r="BB115" s="187">
        <v>338.1</v>
      </c>
      <c r="BC115" s="176">
        <v>5.0000000000000001E-4</v>
      </c>
    </row>
    <row r="116" spans="1:55" ht="17.25" thickBot="1">
      <c r="A116" s="187">
        <v>538</v>
      </c>
      <c r="B116" s="187">
        <v>336.5</v>
      </c>
      <c r="C116" s="187">
        <v>492.8</v>
      </c>
      <c r="D116" s="198"/>
      <c r="E116" s="187">
        <v>538.5</v>
      </c>
      <c r="F116" s="54"/>
      <c r="G116" s="187">
        <v>474</v>
      </c>
      <c r="H116" s="196">
        <v>689.15</v>
      </c>
      <c r="I116" s="194">
        <v>0.06</v>
      </c>
      <c r="J116" s="174">
        <f t="shared" si="3"/>
        <v>5.9999999999999995E-4</v>
      </c>
      <c r="AB116" s="187">
        <v>541.5</v>
      </c>
      <c r="AC116" s="172"/>
      <c r="AD116" s="176">
        <v>2.9999999999999997E-4</v>
      </c>
      <c r="AI116" s="187">
        <v>536.9</v>
      </c>
      <c r="AJ116" s="187">
        <v>336</v>
      </c>
      <c r="AK116" s="187">
        <v>492.2</v>
      </c>
      <c r="AL116" s="187">
        <v>672</v>
      </c>
      <c r="AM116" s="187">
        <v>787</v>
      </c>
      <c r="AN116" s="187">
        <v>471</v>
      </c>
      <c r="AO116" s="187">
        <v>985</v>
      </c>
      <c r="AP116" s="187">
        <v>670.2</v>
      </c>
      <c r="AQ116" s="187">
        <v>537.70000000000005</v>
      </c>
      <c r="AR116" s="187">
        <v>688</v>
      </c>
      <c r="AS116" s="187">
        <v>473.3</v>
      </c>
      <c r="AT116" s="187">
        <v>588.5</v>
      </c>
      <c r="AU116" s="187">
        <v>498</v>
      </c>
      <c r="AV116" s="187">
        <v>586</v>
      </c>
      <c r="AW116" s="196">
        <v>983.2</v>
      </c>
      <c r="AX116" s="174">
        <v>8.0000000000000004E-4</v>
      </c>
      <c r="AY116" s="187">
        <v>983.5</v>
      </c>
      <c r="AZ116" s="174">
        <v>8.0000000000000004E-4</v>
      </c>
      <c r="BB116" s="187">
        <v>338.7</v>
      </c>
      <c r="BC116" s="176">
        <v>2.9999999999999997E-4</v>
      </c>
    </row>
    <row r="117" spans="1:55" ht="17.25" thickBot="1">
      <c r="A117" s="187">
        <v>538.79999999999995</v>
      </c>
      <c r="B117" s="187">
        <v>337</v>
      </c>
      <c r="C117" s="187">
        <v>493.5</v>
      </c>
      <c r="D117" s="198"/>
      <c r="E117" s="187">
        <v>539.20000000000005</v>
      </c>
      <c r="F117" s="54"/>
      <c r="G117" s="187">
        <v>474.5</v>
      </c>
      <c r="H117" s="196">
        <v>689.99</v>
      </c>
      <c r="I117" s="194">
        <v>0.05</v>
      </c>
      <c r="J117" s="174">
        <f t="shared" si="3"/>
        <v>5.0000000000000001E-4</v>
      </c>
      <c r="AB117" s="187">
        <v>542.4</v>
      </c>
      <c r="AC117" s="172"/>
      <c r="AD117" s="176">
        <v>1E-4</v>
      </c>
      <c r="AI117" s="187">
        <v>538</v>
      </c>
      <c r="AJ117" s="187">
        <v>336.5</v>
      </c>
      <c r="AK117" s="187">
        <v>492.8</v>
      </c>
      <c r="AL117" s="187">
        <v>673</v>
      </c>
      <c r="AM117" s="187">
        <v>789</v>
      </c>
      <c r="AN117" s="187">
        <v>472</v>
      </c>
      <c r="AO117" s="187">
        <v>986.5</v>
      </c>
      <c r="AP117" s="187">
        <v>671.5</v>
      </c>
      <c r="AQ117" s="187">
        <v>538.5</v>
      </c>
      <c r="AR117" s="187">
        <v>689</v>
      </c>
      <c r="AS117" s="187">
        <v>474</v>
      </c>
      <c r="AT117" s="187">
        <v>590</v>
      </c>
      <c r="AU117" s="187">
        <v>499</v>
      </c>
      <c r="AV117" s="187">
        <v>587</v>
      </c>
      <c r="AW117" s="196">
        <v>984.5</v>
      </c>
      <c r="AX117" s="174">
        <v>5.9999999999999995E-4</v>
      </c>
      <c r="AY117" s="187">
        <v>985</v>
      </c>
      <c r="AZ117" s="174">
        <v>5.9999999999999995E-4</v>
      </c>
      <c r="BB117" s="187">
        <v>339.2</v>
      </c>
      <c r="BC117" s="176">
        <v>1E-4</v>
      </c>
    </row>
    <row r="118" spans="1:55" ht="17.25" thickBot="1">
      <c r="A118" s="187">
        <v>539.4</v>
      </c>
      <c r="B118" s="187">
        <v>337.5</v>
      </c>
      <c r="C118" s="187">
        <v>494</v>
      </c>
      <c r="D118" s="198"/>
      <c r="E118" s="187">
        <v>539.9</v>
      </c>
      <c r="F118" s="54"/>
      <c r="G118" s="187">
        <v>475</v>
      </c>
      <c r="H118" s="196">
        <v>690.9</v>
      </c>
      <c r="I118" s="194">
        <v>0.04</v>
      </c>
      <c r="J118" s="174">
        <f t="shared" si="3"/>
        <v>4.0000000000000002E-4</v>
      </c>
      <c r="AB118" s="187">
        <v>543.20000000000005</v>
      </c>
      <c r="AC118" s="172"/>
      <c r="AD118" s="176">
        <v>7.0000000000000007E-5</v>
      </c>
      <c r="AI118" s="187">
        <v>538.79999999999995</v>
      </c>
      <c r="AJ118" s="187">
        <v>337</v>
      </c>
      <c r="AK118" s="187">
        <v>493.5</v>
      </c>
      <c r="AL118" s="187">
        <v>673</v>
      </c>
      <c r="AM118" s="187">
        <v>790</v>
      </c>
      <c r="AN118" s="187">
        <v>473</v>
      </c>
      <c r="AO118" s="187">
        <v>988</v>
      </c>
      <c r="AP118" s="187">
        <v>673</v>
      </c>
      <c r="AQ118" s="187">
        <v>539.20000000000005</v>
      </c>
      <c r="AR118" s="187">
        <v>690</v>
      </c>
      <c r="AS118" s="187">
        <v>474.5</v>
      </c>
      <c r="AT118" s="187">
        <v>591.5</v>
      </c>
      <c r="AU118" s="187">
        <v>500</v>
      </c>
      <c r="AV118" s="187">
        <v>588</v>
      </c>
      <c r="AW118" s="196">
        <v>985.7</v>
      </c>
      <c r="AX118" s="174">
        <v>5.0000000000000001E-4</v>
      </c>
      <c r="AY118" s="187">
        <v>986.5</v>
      </c>
      <c r="AZ118" s="174">
        <v>5.0000000000000001E-4</v>
      </c>
      <c r="BB118" s="187">
        <v>339.6</v>
      </c>
      <c r="BC118" s="176">
        <v>7.0000000000000007E-5</v>
      </c>
    </row>
    <row r="119" spans="1:55" ht="17.25" thickBot="1">
      <c r="A119" s="187">
        <v>539.70000000000005</v>
      </c>
      <c r="B119" s="187">
        <v>338</v>
      </c>
      <c r="C119" s="187">
        <v>494.5</v>
      </c>
      <c r="D119" s="198"/>
      <c r="E119" s="187">
        <v>540.6</v>
      </c>
      <c r="F119" s="54"/>
      <c r="G119" s="187">
        <v>475.6</v>
      </c>
      <c r="H119" s="196">
        <v>691.94999999999993</v>
      </c>
      <c r="I119" s="194">
        <v>0.03</v>
      </c>
      <c r="J119" s="174">
        <f t="shared" si="3"/>
        <v>2.9999999999999997E-4</v>
      </c>
      <c r="AB119" s="187">
        <v>543.79999999999995</v>
      </c>
      <c r="AC119" s="172"/>
      <c r="AD119" s="176">
        <v>5.0000000000000002E-5</v>
      </c>
      <c r="AI119" s="187">
        <v>539.4</v>
      </c>
      <c r="AJ119" s="187">
        <v>337.5</v>
      </c>
      <c r="AK119" s="187">
        <v>494</v>
      </c>
      <c r="AL119" s="187">
        <v>674</v>
      </c>
      <c r="AM119" s="187">
        <v>791</v>
      </c>
      <c r="AN119" s="187">
        <v>473.5</v>
      </c>
      <c r="AO119" s="187">
        <v>989</v>
      </c>
      <c r="AP119" s="187">
        <v>674.5</v>
      </c>
      <c r="AQ119" s="187">
        <v>539.9</v>
      </c>
      <c r="AR119" s="187">
        <v>691</v>
      </c>
      <c r="AS119" s="187">
        <v>475</v>
      </c>
      <c r="AT119" s="187">
        <v>592.5</v>
      </c>
      <c r="AU119" s="187">
        <v>500.5</v>
      </c>
      <c r="AV119" s="187">
        <v>589</v>
      </c>
      <c r="AW119" s="196">
        <v>987</v>
      </c>
      <c r="AX119" s="174">
        <v>4.0000000000000002E-4</v>
      </c>
      <c r="AY119" s="187">
        <v>988</v>
      </c>
      <c r="AZ119" s="174">
        <v>4.0000000000000002E-4</v>
      </c>
      <c r="BB119" s="187">
        <v>340</v>
      </c>
      <c r="BC119" s="176">
        <v>5.0000000000000002E-5</v>
      </c>
    </row>
    <row r="120" spans="1:55" ht="17.25" thickBot="1">
      <c r="A120" s="187">
        <v>540.29999999999995</v>
      </c>
      <c r="B120" s="187">
        <v>338.5</v>
      </c>
      <c r="C120" s="187">
        <v>495</v>
      </c>
      <c r="D120" s="198"/>
      <c r="E120" s="187">
        <v>541.4</v>
      </c>
      <c r="F120" s="54"/>
      <c r="G120" s="187">
        <v>476.3</v>
      </c>
      <c r="H120" s="196">
        <v>693.20999999999992</v>
      </c>
      <c r="I120" s="194">
        <v>2.5000000000000001E-2</v>
      </c>
      <c r="J120" s="174">
        <f t="shared" si="3"/>
        <v>2.5000000000000001E-4</v>
      </c>
      <c r="AI120" s="187">
        <v>539.70000000000005</v>
      </c>
      <c r="AJ120" s="187">
        <v>338</v>
      </c>
      <c r="AK120" s="187">
        <v>494.5</v>
      </c>
      <c r="AL120" s="187">
        <v>675</v>
      </c>
      <c r="AM120" s="187">
        <v>792</v>
      </c>
      <c r="AN120" s="187">
        <v>474</v>
      </c>
      <c r="AO120" s="187">
        <v>990</v>
      </c>
      <c r="AP120" s="187">
        <v>676</v>
      </c>
      <c r="AQ120" s="187">
        <v>540.6</v>
      </c>
      <c r="AR120" s="187">
        <v>692</v>
      </c>
      <c r="AS120" s="187">
        <v>475.6</v>
      </c>
      <c r="AT120" s="187">
        <v>593.5</v>
      </c>
      <c r="AU120" s="187">
        <v>501</v>
      </c>
      <c r="AV120" s="187">
        <v>590</v>
      </c>
      <c r="AW120" s="196">
        <v>988.5</v>
      </c>
      <c r="AX120" s="174">
        <v>2.9999999999999997E-4</v>
      </c>
      <c r="AY120" s="187">
        <v>989.5</v>
      </c>
      <c r="AZ120" s="174">
        <v>2.9999999999999997E-4</v>
      </c>
    </row>
    <row r="121" spans="1:55" ht="17.25" thickBot="1">
      <c r="A121" s="187">
        <v>541</v>
      </c>
      <c r="B121" s="187">
        <v>339</v>
      </c>
      <c r="C121" s="187">
        <v>495.7</v>
      </c>
      <c r="D121" s="198"/>
      <c r="E121" s="187">
        <v>542.29999999999995</v>
      </c>
      <c r="F121" s="54"/>
      <c r="G121" s="187">
        <v>477</v>
      </c>
      <c r="H121" s="196">
        <v>694.4</v>
      </c>
      <c r="I121" s="194">
        <v>0.02</v>
      </c>
      <c r="J121" s="174">
        <f t="shared" si="3"/>
        <v>2.0000000000000001E-4</v>
      </c>
      <c r="AI121" s="187">
        <v>540.29999999999995</v>
      </c>
      <c r="AJ121" s="187">
        <v>338.5</v>
      </c>
      <c r="AK121" s="187">
        <v>495</v>
      </c>
      <c r="AL121" s="187">
        <v>676</v>
      </c>
      <c r="AM121" s="187">
        <v>793</v>
      </c>
      <c r="AN121" s="187">
        <v>475</v>
      </c>
      <c r="AO121" s="187">
        <v>991</v>
      </c>
      <c r="AP121" s="187">
        <v>677</v>
      </c>
      <c r="AQ121" s="187">
        <v>541.4</v>
      </c>
      <c r="AR121" s="187">
        <v>693</v>
      </c>
      <c r="AS121" s="187">
        <v>476.3</v>
      </c>
      <c r="AT121" s="187">
        <v>594</v>
      </c>
      <c r="AU121" s="187">
        <v>501.5</v>
      </c>
      <c r="AV121" s="187">
        <v>591</v>
      </c>
      <c r="AW121" s="196">
        <v>990.3</v>
      </c>
      <c r="AX121" s="174">
        <v>2.5000000000000001E-4</v>
      </c>
      <c r="AY121" s="187">
        <v>991</v>
      </c>
      <c r="AZ121" s="174">
        <v>2.5000000000000001E-4</v>
      </c>
    </row>
    <row r="122" spans="1:55" ht="17.25" thickBot="1">
      <c r="A122" s="187">
        <v>541.5</v>
      </c>
      <c r="B122" s="187">
        <v>339.5</v>
      </c>
      <c r="C122" s="187">
        <v>496.3</v>
      </c>
      <c r="D122" s="198"/>
      <c r="E122" s="187">
        <v>543.20000000000005</v>
      </c>
      <c r="F122" s="54"/>
      <c r="G122" s="187">
        <v>477.5</v>
      </c>
      <c r="H122" s="196">
        <v>695.44999999999993</v>
      </c>
      <c r="I122" s="194">
        <v>1.4999999999999999E-2</v>
      </c>
      <c r="J122" s="174">
        <f t="shared" si="3"/>
        <v>1.4999999999999999E-4</v>
      </c>
      <c r="AI122" s="187">
        <v>541</v>
      </c>
      <c r="AJ122" s="187">
        <v>339</v>
      </c>
      <c r="AK122" s="187">
        <v>495.7</v>
      </c>
      <c r="AL122" s="187">
        <v>677</v>
      </c>
      <c r="AM122" s="187">
        <v>794</v>
      </c>
      <c r="AN122" s="187">
        <v>475.5</v>
      </c>
      <c r="AO122" s="187">
        <v>993</v>
      </c>
      <c r="AP122" s="187">
        <v>678</v>
      </c>
      <c r="AQ122" s="187">
        <v>542.29999999999995</v>
      </c>
      <c r="AR122" s="187">
        <v>694</v>
      </c>
      <c r="AS122" s="187">
        <v>477</v>
      </c>
      <c r="AT122" s="187">
        <v>594.5</v>
      </c>
      <c r="AU122" s="187">
        <v>502</v>
      </c>
      <c r="AV122" s="187">
        <v>591.5</v>
      </c>
      <c r="AW122" s="196">
        <v>992</v>
      </c>
      <c r="AX122" s="174">
        <v>2.0000000000000001E-4</v>
      </c>
      <c r="AY122" s="187">
        <v>992</v>
      </c>
      <c r="AZ122" s="174">
        <v>2.0000000000000001E-4</v>
      </c>
    </row>
    <row r="123" spans="1:55" ht="17.25" thickBot="1">
      <c r="A123" s="187">
        <v>542</v>
      </c>
      <c r="B123" s="187">
        <v>340.1</v>
      </c>
      <c r="C123" s="187">
        <v>497</v>
      </c>
      <c r="D123" s="198"/>
      <c r="E123" s="187">
        <v>544</v>
      </c>
      <c r="F123" s="54"/>
      <c r="G123" s="187">
        <v>478.4</v>
      </c>
      <c r="H123" s="196">
        <v>696.70999999999992</v>
      </c>
      <c r="I123" s="194">
        <v>0.01</v>
      </c>
      <c r="J123" s="174">
        <f t="shared" si="3"/>
        <v>1E-4</v>
      </c>
      <c r="AI123" s="187">
        <v>541.5</v>
      </c>
      <c r="AJ123" s="187">
        <v>339.5</v>
      </c>
      <c r="AK123" s="187">
        <v>496.3</v>
      </c>
      <c r="AL123" s="187">
        <v>678</v>
      </c>
      <c r="AM123" s="187">
        <v>795</v>
      </c>
      <c r="AN123" s="187">
        <v>476</v>
      </c>
      <c r="AO123" s="187">
        <v>995</v>
      </c>
      <c r="AP123" s="187">
        <v>679</v>
      </c>
      <c r="AQ123" s="187">
        <v>543.20000000000005</v>
      </c>
      <c r="AR123" s="187">
        <v>695</v>
      </c>
      <c r="AS123" s="187">
        <v>477.5</v>
      </c>
      <c r="AT123" s="187">
        <v>595</v>
      </c>
      <c r="AU123" s="187">
        <v>502.5</v>
      </c>
      <c r="AV123" s="187">
        <v>592</v>
      </c>
      <c r="AW123" s="196">
        <v>993.5</v>
      </c>
      <c r="AX123" s="174">
        <v>1.4999999999999999E-4</v>
      </c>
      <c r="AY123" s="187">
        <v>993</v>
      </c>
      <c r="AZ123" s="174">
        <v>1.4999999999999999E-4</v>
      </c>
    </row>
    <row r="124" spans="1:55" ht="17.25" thickBot="1">
      <c r="A124" s="187">
        <v>543</v>
      </c>
      <c r="B124" s="187">
        <v>340.7</v>
      </c>
      <c r="C124" s="187">
        <v>498</v>
      </c>
      <c r="D124" s="198"/>
      <c r="E124" s="187">
        <v>544.79999999999995</v>
      </c>
      <c r="F124" s="54"/>
      <c r="G124" s="187">
        <v>479.1</v>
      </c>
      <c r="H124" s="196">
        <v>697.9</v>
      </c>
      <c r="I124" s="194">
        <v>7.0000000000000001E-3</v>
      </c>
      <c r="J124" s="174">
        <f t="shared" si="3"/>
        <v>7.0000000000000007E-5</v>
      </c>
      <c r="AI124" s="187">
        <v>542</v>
      </c>
      <c r="AJ124" s="187">
        <v>340.1</v>
      </c>
      <c r="AK124" s="187">
        <v>497</v>
      </c>
      <c r="AL124" s="187">
        <v>678.8</v>
      </c>
      <c r="AM124" s="187">
        <v>796</v>
      </c>
      <c r="AN124" s="187">
        <v>476.5</v>
      </c>
      <c r="AO124" s="187">
        <v>996</v>
      </c>
      <c r="AP124" s="187">
        <v>680</v>
      </c>
      <c r="AQ124" s="187">
        <v>544</v>
      </c>
      <c r="AR124" s="187">
        <v>696</v>
      </c>
      <c r="AS124" s="187">
        <v>478.4</v>
      </c>
      <c r="AT124" s="187">
        <v>596</v>
      </c>
      <c r="AU124" s="187">
        <v>503</v>
      </c>
      <c r="AV124" s="187">
        <v>592.5</v>
      </c>
      <c r="AW124" s="196">
        <v>995.3</v>
      </c>
      <c r="AX124" s="174">
        <v>1E-4</v>
      </c>
      <c r="AY124" s="187">
        <v>994.5</v>
      </c>
      <c r="AZ124" s="174">
        <v>1E-4</v>
      </c>
    </row>
    <row r="125" spans="1:55" ht="17.25" thickBot="1">
      <c r="A125" s="187">
        <v>544</v>
      </c>
      <c r="B125" s="187">
        <v>341.1</v>
      </c>
      <c r="C125" s="187">
        <v>498.8</v>
      </c>
      <c r="D125" s="198"/>
      <c r="E125" s="187">
        <v>545.4</v>
      </c>
      <c r="F125" s="54"/>
      <c r="G125" s="187">
        <v>479.8</v>
      </c>
      <c r="H125" s="196">
        <v>698.59999999999991</v>
      </c>
      <c r="I125" s="194">
        <v>5.0000000000000001E-3</v>
      </c>
      <c r="J125" s="174">
        <f t="shared" si="3"/>
        <v>5.0000000000000002E-5</v>
      </c>
      <c r="AI125" s="187">
        <v>543</v>
      </c>
      <c r="AJ125" s="187">
        <v>340.7</v>
      </c>
      <c r="AK125" s="187">
        <v>498</v>
      </c>
      <c r="AL125" s="187">
        <v>679.4</v>
      </c>
      <c r="AM125" s="187">
        <v>797</v>
      </c>
      <c r="AN125" s="187">
        <v>477</v>
      </c>
      <c r="AO125" s="187">
        <v>997</v>
      </c>
      <c r="AP125" s="187">
        <v>681</v>
      </c>
      <c r="AQ125" s="187">
        <v>544.79999999999995</v>
      </c>
      <c r="AR125" s="187">
        <v>697</v>
      </c>
      <c r="AS125" s="187">
        <v>479.1</v>
      </c>
      <c r="AT125" s="187">
        <v>597</v>
      </c>
      <c r="AU125" s="187">
        <v>503.5</v>
      </c>
      <c r="AV125" s="187">
        <v>593</v>
      </c>
      <c r="AW125" s="196">
        <v>997</v>
      </c>
      <c r="AX125" s="174">
        <v>7.0000000000000007E-5</v>
      </c>
      <c r="AY125" s="187">
        <v>996</v>
      </c>
      <c r="AZ125" s="174">
        <v>7.0000000000000007E-5</v>
      </c>
    </row>
    <row r="126" spans="1:55" ht="17.25" thickBot="1">
      <c r="A126" s="187">
        <v>544.5</v>
      </c>
      <c r="B126" s="187">
        <v>341.5</v>
      </c>
      <c r="C126" s="187">
        <v>499.5</v>
      </c>
      <c r="D126" s="198"/>
      <c r="E126" s="187">
        <v>545.9</v>
      </c>
      <c r="F126" s="54"/>
      <c r="G126" s="187">
        <v>480.4</v>
      </c>
      <c r="H126" s="196">
        <v>699.3</v>
      </c>
      <c r="I126" s="194">
        <v>3.0000000000000001E-3</v>
      </c>
      <c r="J126" s="174">
        <f t="shared" si="3"/>
        <v>3.0000000000000001E-5</v>
      </c>
      <c r="AI126" s="187">
        <v>544</v>
      </c>
      <c r="AJ126" s="187">
        <v>341.1</v>
      </c>
      <c r="AK126" s="187">
        <v>498.8</v>
      </c>
      <c r="AL126" s="187">
        <v>680</v>
      </c>
      <c r="AM126" s="187">
        <v>798</v>
      </c>
      <c r="AN126" s="187">
        <v>477.5</v>
      </c>
      <c r="AO126" s="187">
        <v>998</v>
      </c>
      <c r="AP126" s="187">
        <v>681.5</v>
      </c>
      <c r="AQ126" s="187">
        <v>545.4</v>
      </c>
      <c r="AR126" s="187">
        <v>698</v>
      </c>
      <c r="AS126" s="187">
        <v>479.8</v>
      </c>
      <c r="AT126" s="187">
        <v>598</v>
      </c>
      <c r="AU126" s="187">
        <v>504</v>
      </c>
      <c r="AV126" s="187">
        <v>593.5</v>
      </c>
      <c r="AW126" s="196">
        <v>998</v>
      </c>
      <c r="AX126" s="174">
        <v>5.0000000000000002E-5</v>
      </c>
      <c r="AY126" s="187">
        <v>997.5</v>
      </c>
      <c r="AZ126" s="174">
        <v>5.0000000000000002E-5</v>
      </c>
    </row>
    <row r="127" spans="1:55" ht="17.25" thickBot="1">
      <c r="A127" s="187">
        <v>545</v>
      </c>
      <c r="B127" s="187">
        <v>341.9</v>
      </c>
      <c r="C127" s="187">
        <v>500</v>
      </c>
      <c r="D127" s="198"/>
      <c r="E127" s="187">
        <v>546.4</v>
      </c>
      <c r="F127" s="54"/>
      <c r="G127" s="187">
        <v>481</v>
      </c>
      <c r="H127" s="196">
        <v>700</v>
      </c>
      <c r="I127" s="194">
        <v>1E-3</v>
      </c>
      <c r="J127" s="174">
        <f t="shared" si="3"/>
        <v>1.0000000000000001E-5</v>
      </c>
      <c r="AI127" s="187">
        <v>544.5</v>
      </c>
      <c r="AJ127" s="187">
        <v>341.5</v>
      </c>
      <c r="AK127" s="187">
        <v>499.5</v>
      </c>
      <c r="AL127" s="187">
        <v>681</v>
      </c>
      <c r="AM127" s="187">
        <v>799</v>
      </c>
      <c r="AN127" s="187">
        <v>478</v>
      </c>
      <c r="AO127" s="187">
        <v>999</v>
      </c>
      <c r="AP127" s="187">
        <v>682.5</v>
      </c>
      <c r="AQ127" s="187">
        <v>545.9</v>
      </c>
      <c r="AR127" s="187">
        <v>699</v>
      </c>
      <c r="AS127" s="187">
        <v>480.4</v>
      </c>
      <c r="AT127" s="187">
        <v>599</v>
      </c>
      <c r="AU127" s="187">
        <v>504.5</v>
      </c>
      <c r="AV127" s="187">
        <v>594</v>
      </c>
      <c r="AW127" s="196">
        <v>999</v>
      </c>
      <c r="AX127" s="174">
        <v>3.0000000000000001E-5</v>
      </c>
      <c r="AY127" s="187">
        <v>999</v>
      </c>
      <c r="AZ127" s="174">
        <v>3.0000000000000001E-5</v>
      </c>
    </row>
    <row r="128" spans="1:55">
      <c r="AI128" s="187">
        <v>545</v>
      </c>
      <c r="AJ128" s="187">
        <v>341.9</v>
      </c>
      <c r="AK128" s="187">
        <v>500</v>
      </c>
      <c r="AL128" s="187">
        <v>682</v>
      </c>
      <c r="AM128" s="187">
        <v>800</v>
      </c>
      <c r="AN128" s="187">
        <v>478.5</v>
      </c>
      <c r="AO128" s="187">
        <v>1000</v>
      </c>
      <c r="AP128" s="187">
        <v>683.5</v>
      </c>
      <c r="AQ128" s="187">
        <v>546.4</v>
      </c>
      <c r="AR128" s="187">
        <v>700</v>
      </c>
      <c r="AS128" s="187">
        <v>481</v>
      </c>
      <c r="AT128" s="187">
        <v>600</v>
      </c>
      <c r="AU128" s="187">
        <v>504.9</v>
      </c>
      <c r="AV128" s="187">
        <v>594.4</v>
      </c>
      <c r="AW128" s="196">
        <v>1000</v>
      </c>
      <c r="AX128" s="174">
        <v>1.0000000000000001E-5</v>
      </c>
      <c r="AY128" s="187">
        <v>1000</v>
      </c>
      <c r="AZ128" s="174">
        <v>1.0000000000000001E-5</v>
      </c>
    </row>
  </sheetData>
  <sheetProtection algorithmName="SHA-512" hashValue="2tUUFbpH0WT5OdgEA2i4OMvPIump32DNhmSSiAg/rz6RMatBN14WTNXRKUlGqzmoUcBUn0tL7NcDsBAqG3iKzg==" saltValue="z+RHXUUrRr8yO/kZxgnNCw==" spinCount="100000" sheet="1" objects="1" scenarios="1" selectLockedCells="1" selectUnlockedCells="1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20</vt:i4>
      </vt:variant>
    </vt:vector>
  </HeadingPairs>
  <TitlesOfParts>
    <vt:vector size="20" baseType="lpstr">
      <vt:lpstr>표지</vt:lpstr>
      <vt:lpstr>점수입력</vt:lpstr>
      <vt:lpstr>칼레이과</vt:lpstr>
      <vt:lpstr>청솔이과</vt:lpstr>
      <vt:lpstr>계산</vt:lpstr>
      <vt:lpstr>칼레누적</vt:lpstr>
      <vt:lpstr>청솔누적</vt:lpstr>
      <vt:lpstr>칼레이도스코프</vt:lpstr>
      <vt:lpstr>청솔누적표</vt:lpstr>
      <vt:lpstr>탐구계산sheet</vt:lpstr>
      <vt:lpstr>Sheet4</vt:lpstr>
      <vt:lpstr>Sheet1</vt:lpstr>
      <vt:lpstr>Sheet2</vt:lpstr>
      <vt:lpstr>임시변표</vt:lpstr>
      <vt:lpstr>대학별 변환표준점수</vt:lpstr>
      <vt:lpstr>서울대교차지원</vt:lpstr>
      <vt:lpstr>서울대교차탐구</vt:lpstr>
      <vt:lpstr>서울대과탐변표</vt:lpstr>
      <vt:lpstr>Sheet3</vt:lpstr>
      <vt:lpstr>원점수변환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msdn_notebook</dc:creator>
  <cp:lastModifiedBy>msdn_notebook</cp:lastModifiedBy>
  <dcterms:created xsi:type="dcterms:W3CDTF">2013-11-09T11:50:35Z</dcterms:created>
  <dcterms:modified xsi:type="dcterms:W3CDTF">2013-12-26T05:24:29Z</dcterms:modified>
</cp:coreProperties>
</file>